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otth\Desktop\DDA Bonding\"/>
    </mc:Choice>
  </mc:AlternateContent>
  <bookViews>
    <workbookView xWindow="0" yWindow="0" windowWidth="28800" windowHeight="11010" firstSheet="1" activeTab="1"/>
  </bookViews>
  <sheets>
    <sheet name="Scenario I" sheetId="1" state="hidden" r:id="rId1"/>
    <sheet name="Projections" sheetId="2" r:id="rId2"/>
    <sheet name="ABT - Full Years and DS" sheetId="5" state="hidden" r:id="rId3"/>
    <sheet name="ABT" sheetId="7" r:id="rId4"/>
    <sheet name="Assessed Value Projections" sheetId="10" r:id="rId5"/>
    <sheet name="Assessed Value Projections I" sheetId="9" state="hidden" r:id="rId6"/>
    <sheet name="ABT - Prorated Years-DS (2)" sheetId="8" state="hidden" r:id="rId7"/>
  </sheets>
  <definedNames>
    <definedName name="_xlnm.Print_Area" localSheetId="3">ABT!$A$1:$G$35</definedName>
    <definedName name="_xlnm.Print_Area" localSheetId="2">'ABT - Full Years and DS'!$A$2:$C$6</definedName>
    <definedName name="_xlnm.Print_Area" localSheetId="6">'ABT - Prorated Years-DS (2)'!$A$2:$C$6</definedName>
    <definedName name="_xlnm.Print_Area" localSheetId="4">'Assessed Value Projections'!#REF!</definedName>
    <definedName name="_xlnm.Print_Area" localSheetId="5">'Assessed Value Projections I'!#REF!</definedName>
    <definedName name="_xlnm.Print_Area" localSheetId="1">Projections!$A$1:$U$37</definedName>
    <definedName name="_xlnm.Print_Area" localSheetId="0">'Scenario I'!$A$1:$P$38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0" l="1"/>
  <c r="S34" i="10" l="1"/>
  <c r="K33" i="10"/>
  <c r="K34" i="10"/>
  <c r="K35" i="10"/>
  <c r="K36" i="10"/>
  <c r="K15" i="10"/>
  <c r="M33" i="10"/>
  <c r="M34" i="10"/>
  <c r="M35" i="10"/>
  <c r="M36" i="10"/>
  <c r="M37" i="10"/>
  <c r="L34" i="10"/>
  <c r="H31" i="10"/>
  <c r="H32" i="10"/>
  <c r="K29" i="10"/>
  <c r="K28" i="10"/>
  <c r="K23" i="10"/>
  <c r="H27" i="10"/>
  <c r="E28" i="10"/>
  <c r="E29" i="10"/>
  <c r="E30" i="10"/>
  <c r="E31" i="10"/>
  <c r="E32" i="10"/>
  <c r="H24" i="10"/>
  <c r="G16" i="2" l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O33" i="10"/>
  <c r="O34" i="10"/>
  <c r="O35" i="10"/>
  <c r="O36" i="10"/>
  <c r="O37" i="10"/>
  <c r="O38" i="10"/>
  <c r="O39" i="10"/>
  <c r="O40" i="10"/>
  <c r="O41" i="10"/>
  <c r="O42" i="10"/>
  <c r="H28" i="9"/>
  <c r="H29" i="9" s="1"/>
  <c r="H30" i="9" s="1"/>
  <c r="H31" i="9" s="1"/>
  <c r="H32" i="9" s="1"/>
  <c r="G27" i="9"/>
  <c r="J27" i="9" s="1"/>
  <c r="K27" i="9" s="1"/>
  <c r="I27" i="9" s="1"/>
  <c r="G26" i="9"/>
  <c r="J25" i="9"/>
  <c r="K25" i="9" s="1"/>
  <c r="I25" i="9" s="1"/>
  <c r="G25" i="9"/>
  <c r="G24" i="9"/>
  <c r="G23" i="9"/>
  <c r="J23" i="9" s="1"/>
  <c r="K23" i="9" s="1"/>
  <c r="I23" i="9" s="1"/>
  <c r="Q38" i="10"/>
  <c r="Q42" i="10"/>
  <c r="Q41" i="10"/>
  <c r="Q40" i="10"/>
  <c r="Q39" i="10"/>
  <c r="Q36" i="10"/>
  <c r="Q35" i="10"/>
  <c r="Q34" i="10"/>
  <c r="Q33" i="10"/>
  <c r="F9" i="2"/>
  <c r="E9" i="2"/>
  <c r="B33" i="10"/>
  <c r="B34" i="10" s="1"/>
  <c r="B35" i="10" s="1"/>
  <c r="B36" i="10" s="1"/>
  <c r="B37" i="10" s="1"/>
  <c r="B38" i="10" s="1"/>
  <c r="B39" i="10" s="1"/>
  <c r="B40" i="10" s="1"/>
  <c r="B41" i="10" s="1"/>
  <c r="B42" i="10" s="1"/>
  <c r="H26" i="10"/>
  <c r="H25" i="10"/>
  <c r="O23" i="10"/>
  <c r="O24" i="10" s="1"/>
  <c r="O25" i="10" s="1"/>
  <c r="O26" i="10" s="1"/>
  <c r="O27" i="10" s="1"/>
  <c r="O28" i="10" s="1"/>
  <c r="O29" i="10" s="1"/>
  <c r="O30" i="10" s="1"/>
  <c r="O31" i="10" s="1"/>
  <c r="O32" i="10" s="1"/>
  <c r="N23" i="10"/>
  <c r="H23" i="10"/>
  <c r="H22" i="10"/>
  <c r="H21" i="10"/>
  <c r="F20" i="10"/>
  <c r="H19" i="10"/>
  <c r="H18" i="10"/>
  <c r="M17" i="10"/>
  <c r="N17" i="10" s="1"/>
  <c r="H17" i="10"/>
  <c r="P16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H2" i="10"/>
  <c r="T42" i="9"/>
  <c r="T41" i="9"/>
  <c r="T40" i="9"/>
  <c r="T39" i="9"/>
  <c r="S42" i="9"/>
  <c r="S41" i="9"/>
  <c r="S40" i="9"/>
  <c r="S39" i="9"/>
  <c r="N42" i="9"/>
  <c r="N41" i="9"/>
  <c r="N40" i="9"/>
  <c r="N39" i="9"/>
  <c r="N38" i="9"/>
  <c r="N37" i="9"/>
  <c r="N36" i="9"/>
  <c r="N35" i="9"/>
  <c r="N34" i="9"/>
  <c r="N33" i="9"/>
  <c r="N23" i="9"/>
  <c r="N24" i="9" s="1"/>
  <c r="N25" i="9" s="1"/>
  <c r="N26" i="9" s="1"/>
  <c r="N27" i="9" s="1"/>
  <c r="N28" i="9" s="1"/>
  <c r="N29" i="9" s="1"/>
  <c r="N30" i="9" s="1"/>
  <c r="N31" i="9" s="1"/>
  <c r="N32" i="9" s="1"/>
  <c r="B33" i="9"/>
  <c r="B34" i="9" s="1"/>
  <c r="B35" i="9" s="1"/>
  <c r="B36" i="9" s="1"/>
  <c r="B37" i="9" s="1"/>
  <c r="B38" i="9" s="1"/>
  <c r="B39" i="9" s="1"/>
  <c r="B40" i="9" s="1"/>
  <c r="B41" i="9" s="1"/>
  <c r="B42" i="9" s="1"/>
  <c r="E20" i="9"/>
  <c r="G20" i="9" s="1"/>
  <c r="C28" i="9"/>
  <c r="C29" i="9" s="1"/>
  <c r="C30" i="9" s="1"/>
  <c r="E30" i="9" s="1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1" i="9"/>
  <c r="G22" i="9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I2" i="10" l="1"/>
  <c r="J2" i="10" s="1"/>
  <c r="K2" i="10" s="1"/>
  <c r="L2" i="10" s="1"/>
  <c r="J13" i="10"/>
  <c r="K13" i="10" s="1"/>
  <c r="L13" i="10" s="1"/>
  <c r="J19" i="10"/>
  <c r="K19" i="10" s="1"/>
  <c r="L19" i="10" s="1"/>
  <c r="J23" i="10"/>
  <c r="L23" i="10" s="1"/>
  <c r="J25" i="10"/>
  <c r="K25" i="10" s="1"/>
  <c r="L25" i="10" s="1"/>
  <c r="J17" i="10"/>
  <c r="K17" i="10" s="1"/>
  <c r="L17" i="10" s="1"/>
  <c r="J11" i="10"/>
  <c r="K11" i="10" s="1"/>
  <c r="L11" i="10" s="1"/>
  <c r="J15" i="10"/>
  <c r="L15" i="10" s="1"/>
  <c r="J21" i="10"/>
  <c r="K21" i="10" s="1"/>
  <c r="L21" i="10" s="1"/>
  <c r="J12" i="10"/>
  <c r="K12" i="10" s="1"/>
  <c r="L12" i="10" s="1"/>
  <c r="J16" i="10"/>
  <c r="K16" i="10" s="1"/>
  <c r="J18" i="10"/>
  <c r="K18" i="10" s="1"/>
  <c r="L18" i="10" s="1"/>
  <c r="J22" i="10"/>
  <c r="K22" i="10" s="1"/>
  <c r="L22" i="10" s="1"/>
  <c r="P22" i="10" s="1"/>
  <c r="E28" i="9"/>
  <c r="G30" i="9"/>
  <c r="J30" i="9" s="1"/>
  <c r="K30" i="9" s="1"/>
  <c r="I30" i="9" s="1"/>
  <c r="G29" i="9"/>
  <c r="J29" i="9" s="1"/>
  <c r="K29" i="9" s="1"/>
  <c r="I29" i="9" s="1"/>
  <c r="H20" i="10"/>
  <c r="H2" i="9"/>
  <c r="C31" i="9"/>
  <c r="M22" i="10" l="1"/>
  <c r="N22" i="10" s="1"/>
  <c r="P21" i="10"/>
  <c r="M26" i="10"/>
  <c r="P25" i="10"/>
  <c r="M19" i="10"/>
  <c r="N19" i="10" s="1"/>
  <c r="P18" i="10"/>
  <c r="M16" i="10"/>
  <c r="N16" i="10" s="1"/>
  <c r="P15" i="10"/>
  <c r="P23" i="10"/>
  <c r="M24" i="10"/>
  <c r="I24" i="10" s="1"/>
  <c r="J24" i="10" s="1"/>
  <c r="K24" i="10" s="1"/>
  <c r="L24" i="10" s="1"/>
  <c r="M25" i="10" s="1"/>
  <c r="N25" i="10" s="1"/>
  <c r="M12" i="10"/>
  <c r="N12" i="10" s="1"/>
  <c r="P11" i="10"/>
  <c r="M20" i="10"/>
  <c r="I20" i="10" s="1"/>
  <c r="J20" i="10" s="1"/>
  <c r="K20" i="10" s="1"/>
  <c r="L20" i="10" s="1"/>
  <c r="P19" i="10"/>
  <c r="M13" i="10"/>
  <c r="N13" i="10" s="1"/>
  <c r="P12" i="10"/>
  <c r="M18" i="10"/>
  <c r="N18" i="10" s="1"/>
  <c r="P17" i="10"/>
  <c r="M14" i="10"/>
  <c r="N14" i="10" s="1"/>
  <c r="P13" i="10"/>
  <c r="N20" i="10"/>
  <c r="N24" i="10"/>
  <c r="G28" i="9"/>
  <c r="J28" i="9" s="1"/>
  <c r="K28" i="9" s="1"/>
  <c r="I28" i="9" s="1"/>
  <c r="G31" i="9"/>
  <c r="J31" i="9" s="1"/>
  <c r="K31" i="9" s="1"/>
  <c r="I31" i="9" s="1"/>
  <c r="M3" i="10"/>
  <c r="I3" i="10" s="1"/>
  <c r="J3" i="10" s="1"/>
  <c r="P2" i="10"/>
  <c r="J2" i="9"/>
  <c r="C32" i="9"/>
  <c r="D11" i="2"/>
  <c r="C11" i="2"/>
  <c r="B11" i="2"/>
  <c r="G6" i="2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F7" i="2"/>
  <c r="D7" i="2"/>
  <c r="E7" i="2"/>
  <c r="C7" i="2"/>
  <c r="I26" i="10" l="1"/>
  <c r="J26" i="10" s="1"/>
  <c r="K26" i="10" s="1"/>
  <c r="L26" i="10" s="1"/>
  <c r="I14" i="10"/>
  <c r="J14" i="10" s="1"/>
  <c r="K14" i="10" s="1"/>
  <c r="L14" i="10" s="1"/>
  <c r="P14" i="10" s="1"/>
  <c r="N26" i="10"/>
  <c r="E32" i="9"/>
  <c r="N3" i="10"/>
  <c r="K3" i="10"/>
  <c r="L3" i="10" s="1"/>
  <c r="P24" i="10"/>
  <c r="P20" i="10"/>
  <c r="M21" i="10"/>
  <c r="N21" i="10" s="1"/>
  <c r="K2" i="9"/>
  <c r="I2" i="9" s="1"/>
  <c r="C33" i="9"/>
  <c r="G19" i="2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B8" i="2"/>
  <c r="C8" i="2"/>
  <c r="D8" i="2"/>
  <c r="M15" i="10" l="1"/>
  <c r="N15" i="10" s="1"/>
  <c r="M27" i="10"/>
  <c r="J27" i="10" s="1"/>
  <c r="K27" i="10" s="1"/>
  <c r="L27" i="10" s="1"/>
  <c r="P26" i="10"/>
  <c r="N27" i="10"/>
  <c r="G32" i="9"/>
  <c r="J32" i="9" s="1"/>
  <c r="K32" i="9" s="1"/>
  <c r="I32" i="9" s="1"/>
  <c r="M4" i="10"/>
  <c r="I4" i="10" s="1"/>
  <c r="J4" i="10" s="1"/>
  <c r="P3" i="10"/>
  <c r="O2" i="9"/>
  <c r="L3" i="9"/>
  <c r="C34" i="9"/>
  <c r="B17" i="8"/>
  <c r="D17" i="8" s="1"/>
  <c r="C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C10" i="8"/>
  <c r="C6" i="8"/>
  <c r="B17" i="7"/>
  <c r="B33" i="7" s="1"/>
  <c r="C10" i="7"/>
  <c r="C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C6" i="7"/>
  <c r="C10" i="5"/>
  <c r="B17" i="5"/>
  <c r="M28" i="10" l="1"/>
  <c r="P27" i="10"/>
  <c r="K4" i="10"/>
  <c r="L4" i="10" s="1"/>
  <c r="N4" i="10"/>
  <c r="M3" i="9"/>
  <c r="H3" i="9"/>
  <c r="J3" i="9" s="1"/>
  <c r="K3" i="9" s="1"/>
  <c r="I3" i="9" s="1"/>
  <c r="E34" i="9"/>
  <c r="C35" i="9"/>
  <c r="C36" i="9" s="1"/>
  <c r="G33" i="9"/>
  <c r="D33" i="8"/>
  <c r="C11" i="8"/>
  <c r="C12" i="8" s="1"/>
  <c r="C13" i="8" s="1"/>
  <c r="B33" i="8"/>
  <c r="D17" i="7"/>
  <c r="D17" i="5"/>
  <c r="C33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N28" i="10" l="1"/>
  <c r="M5" i="10"/>
  <c r="I5" i="10" s="1"/>
  <c r="J5" i="10" s="1"/>
  <c r="P4" i="10"/>
  <c r="O3" i="9"/>
  <c r="L4" i="9"/>
  <c r="H4" i="9" s="1"/>
  <c r="J4" i="9" s="1"/>
  <c r="E36" i="9"/>
  <c r="C37" i="9"/>
  <c r="G34" i="9"/>
  <c r="D33" i="7"/>
  <c r="C11" i="7"/>
  <c r="C12" i="7" s="1"/>
  <c r="C13" i="7" s="1"/>
  <c r="B33" i="5"/>
  <c r="C11" i="5"/>
  <c r="C12" i="5" s="1"/>
  <c r="C13" i="5" s="1"/>
  <c r="D33" i="5"/>
  <c r="C6" i="5"/>
  <c r="N5" i="10" l="1"/>
  <c r="K5" i="10"/>
  <c r="L5" i="10" s="1"/>
  <c r="M4" i="9"/>
  <c r="K4" i="9"/>
  <c r="I4" i="9" s="1"/>
  <c r="C38" i="9"/>
  <c r="G35" i="9"/>
  <c r="E21" i="2"/>
  <c r="D21" i="2"/>
  <c r="M6" i="10" l="1"/>
  <c r="I6" i="10" s="1"/>
  <c r="J6" i="10" s="1"/>
  <c r="P5" i="10"/>
  <c r="O4" i="9"/>
  <c r="L5" i="9"/>
  <c r="H5" i="9" s="1"/>
  <c r="J5" i="9" s="1"/>
  <c r="E38" i="9"/>
  <c r="C39" i="9"/>
  <c r="G36" i="9"/>
  <c r="U29" i="2"/>
  <c r="K6" i="10" l="1"/>
  <c r="L6" i="10" s="1"/>
  <c r="N6" i="10"/>
  <c r="M5" i="9"/>
  <c r="K5" i="9"/>
  <c r="I5" i="9" s="1"/>
  <c r="C40" i="9"/>
  <c r="G37" i="9"/>
  <c r="F20" i="2"/>
  <c r="G16" i="1"/>
  <c r="H16" i="1" s="1"/>
  <c r="I16" i="1" s="1"/>
  <c r="J16" i="1" s="1"/>
  <c r="K16" i="1" s="1"/>
  <c r="L16" i="1" s="1"/>
  <c r="M16" i="1" s="1"/>
  <c r="N16" i="1" s="1"/>
  <c r="O16" i="1" s="1"/>
  <c r="P16" i="1" s="1"/>
  <c r="P6" i="10" l="1"/>
  <c r="M7" i="10"/>
  <c r="I7" i="10" s="1"/>
  <c r="J7" i="10" s="1"/>
  <c r="O5" i="9"/>
  <c r="L6" i="9"/>
  <c r="M6" i="9" s="1"/>
  <c r="E40" i="9"/>
  <c r="C41" i="9"/>
  <c r="G38" i="9"/>
  <c r="U8" i="1"/>
  <c r="T8" i="1"/>
  <c r="S8" i="1"/>
  <c r="R8" i="1"/>
  <c r="Q8" i="1"/>
  <c r="U19" i="1"/>
  <c r="T19" i="1"/>
  <c r="S19" i="1"/>
  <c r="R19" i="1"/>
  <c r="Q19" i="1"/>
  <c r="Q37" i="1" s="1"/>
  <c r="N7" i="10" l="1"/>
  <c r="K7" i="10"/>
  <c r="L7" i="10" s="1"/>
  <c r="H6" i="9"/>
  <c r="J6" i="9" s="1"/>
  <c r="C42" i="9"/>
  <c r="G39" i="9"/>
  <c r="U27" i="1"/>
  <c r="U17" i="1"/>
  <c r="T17" i="1"/>
  <c r="S17" i="1"/>
  <c r="R17" i="1"/>
  <c r="R18" i="1" s="1"/>
  <c r="Q17" i="1"/>
  <c r="G17" i="1"/>
  <c r="E28" i="1"/>
  <c r="E29" i="1" s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E30" i="2"/>
  <c r="E31" i="2" s="1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E46" i="2"/>
  <c r="D30" i="2"/>
  <c r="D31" i="2" s="1"/>
  <c r="C30" i="2"/>
  <c r="C31" i="2" s="1"/>
  <c r="B30" i="2"/>
  <c r="B31" i="2" s="1"/>
  <c r="Q24" i="2"/>
  <c r="R24" i="2" s="1"/>
  <c r="S24" i="2" s="1"/>
  <c r="C21" i="2"/>
  <c r="B21" i="2"/>
  <c r="E20" i="2"/>
  <c r="D20" i="2"/>
  <c r="C20" i="2"/>
  <c r="F17" i="2"/>
  <c r="E17" i="2"/>
  <c r="D17" i="2"/>
  <c r="C17" i="2"/>
  <c r="E14" i="2"/>
  <c r="D14" i="2"/>
  <c r="C14" i="2"/>
  <c r="F11" i="2"/>
  <c r="F8" i="2" s="1"/>
  <c r="G8" i="2" s="1"/>
  <c r="H8" i="2" s="1"/>
  <c r="I8" i="2" s="1"/>
  <c r="J8" i="2" s="1"/>
  <c r="K8" i="2" s="1"/>
  <c r="E11" i="2"/>
  <c r="E8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E45" i="1"/>
  <c r="M17" i="1" s="1"/>
  <c r="E8" i="1"/>
  <c r="F8" i="1"/>
  <c r="G8" i="1"/>
  <c r="H8" i="1"/>
  <c r="I8" i="1"/>
  <c r="J8" i="1"/>
  <c r="K8" i="1"/>
  <c r="L8" i="1"/>
  <c r="M8" i="1"/>
  <c r="N8" i="1"/>
  <c r="O8" i="1"/>
  <c r="P8" i="1"/>
  <c r="F19" i="1"/>
  <c r="E19" i="1"/>
  <c r="U18" i="1"/>
  <c r="U14" i="1"/>
  <c r="U11" i="1"/>
  <c r="T18" i="1"/>
  <c r="T14" i="1"/>
  <c r="T11" i="1"/>
  <c r="S14" i="1"/>
  <c r="S11" i="1"/>
  <c r="R14" i="1"/>
  <c r="R11" i="1"/>
  <c r="Q14" i="1"/>
  <c r="Q11" i="1"/>
  <c r="P14" i="1"/>
  <c r="P11" i="1"/>
  <c r="O14" i="1"/>
  <c r="O11" i="1"/>
  <c r="N14" i="1"/>
  <c r="N11" i="1"/>
  <c r="M14" i="1"/>
  <c r="M11" i="1"/>
  <c r="L14" i="1"/>
  <c r="L11" i="1"/>
  <c r="B19" i="1"/>
  <c r="C19" i="1"/>
  <c r="D19" i="1"/>
  <c r="G29" i="1"/>
  <c r="B28" i="1"/>
  <c r="B29" i="1" s="1"/>
  <c r="C28" i="1"/>
  <c r="C29" i="1" s="1"/>
  <c r="D28" i="1"/>
  <c r="D29" i="1" s="1"/>
  <c r="C18" i="1"/>
  <c r="D18" i="1"/>
  <c r="E18" i="1"/>
  <c r="F18" i="1"/>
  <c r="K14" i="1"/>
  <c r="J14" i="1"/>
  <c r="I14" i="1"/>
  <c r="H14" i="1"/>
  <c r="G14" i="1"/>
  <c r="F14" i="1"/>
  <c r="E14" i="1"/>
  <c r="D14" i="1"/>
  <c r="C14" i="1"/>
  <c r="C11" i="1"/>
  <c r="D11" i="1"/>
  <c r="E11" i="1"/>
  <c r="F11" i="1"/>
  <c r="G11" i="1"/>
  <c r="H11" i="1"/>
  <c r="I11" i="1"/>
  <c r="J11" i="1"/>
  <c r="K11" i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P7" i="10" l="1"/>
  <c r="M8" i="10"/>
  <c r="I8" i="10" s="1"/>
  <c r="J8" i="10" s="1"/>
  <c r="K6" i="9"/>
  <c r="I6" i="9" s="1"/>
  <c r="E42" i="9"/>
  <c r="G40" i="9"/>
  <c r="F13" i="2"/>
  <c r="F21" i="2" s="1"/>
  <c r="F39" i="2" s="1"/>
  <c r="G9" i="2"/>
  <c r="G11" i="2" s="1"/>
  <c r="C40" i="2"/>
  <c r="F31" i="2"/>
  <c r="C39" i="2"/>
  <c r="E40" i="2"/>
  <c r="B40" i="2"/>
  <c r="G31" i="2"/>
  <c r="S18" i="1"/>
  <c r="C36" i="2"/>
  <c r="D34" i="1"/>
  <c r="E38" i="1"/>
  <c r="N17" i="1"/>
  <c r="N19" i="1" s="1"/>
  <c r="N37" i="1" s="1"/>
  <c r="G18" i="1"/>
  <c r="C37" i="1"/>
  <c r="E37" i="1"/>
  <c r="B38" i="1"/>
  <c r="F29" i="1"/>
  <c r="F34" i="1" s="1"/>
  <c r="F38" i="1"/>
  <c r="J17" i="1"/>
  <c r="J19" i="1" s="1"/>
  <c r="J37" i="1" s="1"/>
  <c r="N18" i="1"/>
  <c r="M19" i="1"/>
  <c r="M37" i="1" s="1"/>
  <c r="K17" i="1"/>
  <c r="K19" i="1" s="1"/>
  <c r="K37" i="1" s="1"/>
  <c r="O17" i="1"/>
  <c r="O19" i="1" s="1"/>
  <c r="O37" i="1" s="1"/>
  <c r="H17" i="1"/>
  <c r="H19" i="1" s="1"/>
  <c r="H37" i="1" s="1"/>
  <c r="L17" i="1"/>
  <c r="M18" i="1" s="1"/>
  <c r="P17" i="1"/>
  <c r="P19" i="1" s="1"/>
  <c r="P37" i="1" s="1"/>
  <c r="I17" i="1"/>
  <c r="I19" i="1" s="1"/>
  <c r="I37" i="1" s="1"/>
  <c r="T24" i="2"/>
  <c r="U24" i="2" s="1"/>
  <c r="U31" i="2" s="1"/>
  <c r="J31" i="2"/>
  <c r="N31" i="2"/>
  <c r="D40" i="2"/>
  <c r="D39" i="2"/>
  <c r="D36" i="2"/>
  <c r="K31" i="2"/>
  <c r="O31" i="2"/>
  <c r="H31" i="2"/>
  <c r="L31" i="2"/>
  <c r="P31" i="2"/>
  <c r="R31" i="2"/>
  <c r="S31" i="2"/>
  <c r="I31" i="2"/>
  <c r="M31" i="2"/>
  <c r="Q31" i="2"/>
  <c r="B34" i="2"/>
  <c r="B36" i="2" s="1"/>
  <c r="B37" i="2" s="1"/>
  <c r="C3" i="2" s="1"/>
  <c r="E36" i="2"/>
  <c r="E39" i="2"/>
  <c r="B39" i="2"/>
  <c r="C38" i="1"/>
  <c r="D37" i="1"/>
  <c r="D38" i="1"/>
  <c r="U37" i="1"/>
  <c r="E34" i="1"/>
  <c r="H29" i="1"/>
  <c r="B32" i="1"/>
  <c r="T37" i="1"/>
  <c r="S37" i="1"/>
  <c r="R37" i="1"/>
  <c r="F37" i="1"/>
  <c r="B37" i="1"/>
  <c r="K8" i="10" l="1"/>
  <c r="L8" i="10" s="1"/>
  <c r="N8" i="10"/>
  <c r="O6" i="9"/>
  <c r="L7" i="9"/>
  <c r="M7" i="9" s="1"/>
  <c r="G42" i="9"/>
  <c r="G41" i="9"/>
  <c r="F36" i="2"/>
  <c r="F40" i="2"/>
  <c r="F14" i="2"/>
  <c r="G13" i="2"/>
  <c r="H9" i="2"/>
  <c r="H11" i="2" s="1"/>
  <c r="C37" i="2"/>
  <c r="D3" i="2" s="1"/>
  <c r="D37" i="2" s="1"/>
  <c r="E3" i="2" s="1"/>
  <c r="E37" i="2" s="1"/>
  <c r="F3" i="2" s="1"/>
  <c r="T31" i="2"/>
  <c r="H34" i="1"/>
  <c r="H18" i="1"/>
  <c r="Q18" i="1"/>
  <c r="K18" i="1"/>
  <c r="I18" i="1"/>
  <c r="L18" i="1"/>
  <c r="G19" i="1"/>
  <c r="G38" i="1" s="1"/>
  <c r="L19" i="1"/>
  <c r="L37" i="1" s="1"/>
  <c r="O18" i="1"/>
  <c r="J18" i="1"/>
  <c r="P18" i="1"/>
  <c r="H38" i="1"/>
  <c r="M9" i="10" l="1"/>
  <c r="I9" i="10" s="1"/>
  <c r="J9" i="10" s="1"/>
  <c r="P8" i="10"/>
  <c r="H7" i="9"/>
  <c r="F37" i="2"/>
  <c r="G3" i="2" s="1"/>
  <c r="G14" i="2"/>
  <c r="H13" i="2"/>
  <c r="I9" i="2"/>
  <c r="I11" i="2" s="1"/>
  <c r="G37" i="1"/>
  <c r="G34" i="1"/>
  <c r="I38" i="1"/>
  <c r="I29" i="1"/>
  <c r="I34" i="1" s="1"/>
  <c r="B34" i="1"/>
  <c r="B35" i="1" s="1"/>
  <c r="C3" i="1" s="1"/>
  <c r="C34" i="1"/>
  <c r="K9" i="10" l="1"/>
  <c r="L9" i="10" s="1"/>
  <c r="N9" i="10"/>
  <c r="I13" i="2"/>
  <c r="J9" i="2"/>
  <c r="J11" i="2" s="1"/>
  <c r="H14" i="2"/>
  <c r="C35" i="1"/>
  <c r="D3" i="1" s="1"/>
  <c r="D35" i="1" s="1"/>
  <c r="E3" i="1" s="1"/>
  <c r="E35" i="1" s="1"/>
  <c r="F3" i="1" s="1"/>
  <c r="F35" i="1" s="1"/>
  <c r="G3" i="1" s="1"/>
  <c r="G35" i="1" s="1"/>
  <c r="H3" i="1" s="1"/>
  <c r="H35" i="1" s="1"/>
  <c r="I3" i="1" s="1"/>
  <c r="I35" i="1" s="1"/>
  <c r="J3" i="1" s="1"/>
  <c r="J38" i="1"/>
  <c r="J29" i="1"/>
  <c r="P9" i="10" l="1"/>
  <c r="M10" i="10"/>
  <c r="I10" i="10" s="1"/>
  <c r="J10" i="10" s="1"/>
  <c r="J13" i="2"/>
  <c r="K9" i="2"/>
  <c r="K11" i="2" s="1"/>
  <c r="I14" i="2"/>
  <c r="J34" i="1"/>
  <c r="J35" i="1" s="1"/>
  <c r="K3" i="1" s="1"/>
  <c r="K38" i="1"/>
  <c r="K29" i="1"/>
  <c r="N10" i="10" l="1"/>
  <c r="K10" i="10"/>
  <c r="L10" i="10" s="1"/>
  <c r="J14" i="2"/>
  <c r="K13" i="2"/>
  <c r="K34" i="1"/>
  <c r="K35" i="1" s="1"/>
  <c r="L3" i="1" s="1"/>
  <c r="L38" i="1"/>
  <c r="L29" i="1"/>
  <c r="P10" i="10" l="1"/>
  <c r="M11" i="10"/>
  <c r="N11" i="10" s="1"/>
  <c r="K14" i="2"/>
  <c r="L34" i="1"/>
  <c r="L35" i="1" s="1"/>
  <c r="M3" i="1" s="1"/>
  <c r="M38" i="1"/>
  <c r="M29" i="1"/>
  <c r="M34" i="1" l="1"/>
  <c r="M35" i="1" s="1"/>
  <c r="N3" i="1" s="1"/>
  <c r="N29" i="1"/>
  <c r="N38" i="1"/>
  <c r="N34" i="1" l="1"/>
  <c r="N35" i="1" s="1"/>
  <c r="O3" i="1" s="1"/>
  <c r="O29" i="1"/>
  <c r="O38" i="1"/>
  <c r="O34" i="1" l="1"/>
  <c r="O35" i="1" s="1"/>
  <c r="P3" i="1" s="1"/>
  <c r="Q22" i="1"/>
  <c r="P38" i="1"/>
  <c r="P29" i="1"/>
  <c r="P34" i="1" l="1"/>
  <c r="P35" i="1" s="1"/>
  <c r="Q3" i="1" s="1"/>
  <c r="R22" i="1"/>
  <c r="Q38" i="1"/>
  <c r="Q29" i="1"/>
  <c r="Q34" i="1" s="1"/>
  <c r="Q35" i="1" l="1"/>
  <c r="R3" i="1" s="1"/>
  <c r="S22" i="1"/>
  <c r="R38" i="1"/>
  <c r="R29" i="1"/>
  <c r="R34" i="1" s="1"/>
  <c r="R35" i="1" l="1"/>
  <c r="S3" i="1" s="1"/>
  <c r="T22" i="1"/>
  <c r="S38" i="1"/>
  <c r="S29" i="1"/>
  <c r="S34" i="1" s="1"/>
  <c r="S35" i="1" l="1"/>
  <c r="T3" i="1" s="1"/>
  <c r="U22" i="1"/>
  <c r="T29" i="1"/>
  <c r="T34" i="1" s="1"/>
  <c r="T38" i="1"/>
  <c r="T35" i="1" l="1"/>
  <c r="U3" i="1" s="1"/>
  <c r="U38" i="1"/>
  <c r="U29" i="1"/>
  <c r="U34" i="1" s="1"/>
  <c r="U35" i="1" l="1"/>
  <c r="J7" i="9" l="1"/>
  <c r="K7" i="9" l="1"/>
  <c r="I7" i="9" s="1"/>
  <c r="O7" i="9" l="1"/>
  <c r="L8" i="9"/>
  <c r="H8" i="9" s="1"/>
  <c r="J8" i="9" s="1"/>
  <c r="P33" i="9" l="1"/>
  <c r="Q33" i="9" s="1"/>
  <c r="P35" i="9"/>
  <c r="Q35" i="9" s="1"/>
  <c r="P37" i="9"/>
  <c r="Q37" i="9" s="1"/>
  <c r="P34" i="9"/>
  <c r="Q34" i="9" s="1"/>
  <c r="P36" i="9"/>
  <c r="Q36" i="9" s="1"/>
  <c r="M8" i="9"/>
  <c r="K8" i="9"/>
  <c r="I8" i="9" s="1"/>
  <c r="T33" i="9" s="1"/>
  <c r="T34" i="9" s="1"/>
  <c r="T35" i="9" s="1"/>
  <c r="T36" i="9" s="1"/>
  <c r="T37" i="9" s="1"/>
  <c r="T38" i="9" s="1"/>
  <c r="O8" i="9" l="1"/>
  <c r="L9" i="9"/>
  <c r="M9" i="9" s="1"/>
  <c r="R33" i="9" l="1"/>
  <c r="S33" i="9" s="1"/>
  <c r="R37" i="9"/>
  <c r="S37" i="9" s="1"/>
  <c r="R35" i="9"/>
  <c r="S35" i="9" s="1"/>
  <c r="R34" i="9"/>
  <c r="S34" i="9" s="1"/>
  <c r="R36" i="9"/>
  <c r="S36" i="9" s="1"/>
  <c r="R38" i="9"/>
  <c r="S38" i="9" s="1"/>
  <c r="H9" i="9"/>
  <c r="J9" i="9" s="1"/>
  <c r="K9" i="9" l="1"/>
  <c r="I9" i="9" s="1"/>
  <c r="O9" i="9" l="1"/>
  <c r="L10" i="9"/>
  <c r="M10" i="9" s="1"/>
  <c r="H10" i="9" l="1"/>
  <c r="J10" i="9" s="1"/>
  <c r="K10" i="9" s="1"/>
  <c r="I10" i="9" s="1"/>
  <c r="J11" i="9"/>
  <c r="K11" i="9" l="1"/>
  <c r="I11" i="9" s="1"/>
  <c r="O10" i="9"/>
  <c r="L11" i="9"/>
  <c r="M11" i="9" s="1"/>
  <c r="O11" i="9" l="1"/>
  <c r="L12" i="9"/>
  <c r="M12" i="9" s="1"/>
  <c r="J12" i="9"/>
  <c r="K12" i="9" l="1"/>
  <c r="I12" i="9" s="1"/>
  <c r="O12" i="9" l="1"/>
  <c r="L13" i="9"/>
  <c r="M13" i="9" s="1"/>
  <c r="J13" i="9"/>
  <c r="K13" i="9" l="1"/>
  <c r="I13" i="9" s="1"/>
  <c r="O13" i="9" s="1"/>
  <c r="L14" i="9" l="1"/>
  <c r="M14" i="9" s="1"/>
  <c r="H14" i="9" l="1"/>
  <c r="J14" i="9" s="1"/>
  <c r="K14" i="9" s="1"/>
  <c r="I14" i="9" l="1"/>
  <c r="O14" i="9" l="1"/>
  <c r="L15" i="9"/>
  <c r="J15" i="9" s="1"/>
  <c r="K15" i="9" l="1"/>
  <c r="I15" i="9" s="1"/>
  <c r="O15" i="9" s="1"/>
  <c r="M15" i="9"/>
  <c r="J16" i="9"/>
  <c r="K16" i="9" s="1"/>
  <c r="L16" i="9" l="1"/>
  <c r="M16" i="9" s="1"/>
  <c r="O16" i="9"/>
  <c r="L17" i="9"/>
  <c r="M17" i="9" s="1"/>
  <c r="J17" i="9" l="1"/>
  <c r="K17" i="9" l="1"/>
  <c r="I17" i="9" s="1"/>
  <c r="O17" i="9" s="1"/>
  <c r="L18" i="9" l="1"/>
  <c r="M18" i="9" s="1"/>
  <c r="J18" i="9"/>
  <c r="K18" i="9" l="1"/>
  <c r="I18" i="9" s="1"/>
  <c r="O18" i="9" s="1"/>
  <c r="L19" i="9" l="1"/>
  <c r="M19" i="9" s="1"/>
  <c r="J19" i="9"/>
  <c r="K19" i="9" l="1"/>
  <c r="I19" i="9" s="1"/>
  <c r="O19" i="9" s="1"/>
  <c r="L20" i="9" l="1"/>
  <c r="M20" i="9" l="1"/>
  <c r="H20" i="9"/>
  <c r="J20" i="9" s="1"/>
  <c r="K20" i="9" s="1"/>
  <c r="I20" i="9" s="1"/>
  <c r="O20" i="9" s="1"/>
  <c r="L21" i="9" l="1"/>
  <c r="M21" i="9" l="1"/>
  <c r="J21" i="9"/>
  <c r="K21" i="9" s="1"/>
  <c r="I21" i="9" l="1"/>
  <c r="O21" i="9" s="1"/>
  <c r="L22" i="9" l="1"/>
  <c r="M22" i="9" s="1"/>
  <c r="J22" i="9"/>
  <c r="K22" i="9" s="1"/>
  <c r="I22" i="9" s="1"/>
  <c r="O22" i="9" l="1"/>
  <c r="M23" i="9"/>
  <c r="L24" i="9" l="1"/>
  <c r="H24" i="9" s="1"/>
  <c r="J24" i="9" s="1"/>
  <c r="K24" i="9" s="1"/>
  <c r="I24" i="9" s="1"/>
  <c r="O23" i="9"/>
  <c r="M24" i="9" l="1"/>
  <c r="L25" i="9" l="1"/>
  <c r="M25" i="9" s="1"/>
  <c r="O24" i="9"/>
  <c r="O25" i="9" l="1"/>
  <c r="L26" i="9"/>
  <c r="H26" i="9" s="1"/>
  <c r="J26" i="9" s="1"/>
  <c r="K26" i="9" s="1"/>
  <c r="I26" i="9" s="1"/>
  <c r="M26" i="9" l="1"/>
  <c r="O26" i="9" l="1"/>
  <c r="L27" i="9"/>
  <c r="M27" i="9" l="1"/>
  <c r="O27" i="9" l="1"/>
  <c r="L28" i="9"/>
  <c r="M28" i="9" l="1"/>
  <c r="O28" i="9" l="1"/>
  <c r="L29" i="9"/>
  <c r="M29" i="9" l="1"/>
  <c r="O29" i="9" l="1"/>
  <c r="L30" i="9"/>
  <c r="M30" i="9" l="1"/>
  <c r="O30" i="9" l="1"/>
  <c r="L31" i="9"/>
  <c r="M31" i="9" l="1"/>
  <c r="O31" i="9" l="1"/>
  <c r="L32" i="9"/>
  <c r="M32" i="9" l="1"/>
  <c r="U33" i="9" l="1"/>
  <c r="V33" i="9" s="1"/>
  <c r="I33" i="9" s="1"/>
  <c r="O32" i="9"/>
  <c r="L33" i="9"/>
  <c r="H33" i="9" s="1"/>
  <c r="M33" i="9" l="1"/>
  <c r="J33" i="9"/>
  <c r="K33" i="9" s="1"/>
  <c r="U34" i="9" s="1"/>
  <c r="V34" i="9" s="1"/>
  <c r="I34" i="9" s="1"/>
  <c r="O33" i="9" l="1"/>
  <c r="L34" i="9"/>
  <c r="H34" i="9" s="1"/>
  <c r="M34" i="9" l="1"/>
  <c r="J34" i="9"/>
  <c r="K34" i="9" s="1"/>
  <c r="U35" i="9" l="1"/>
  <c r="V35" i="9" s="1"/>
  <c r="I35" i="9" s="1"/>
  <c r="O34" i="9" l="1"/>
  <c r="L35" i="9"/>
  <c r="H35" i="9" l="1"/>
  <c r="J35" i="9" s="1"/>
  <c r="K35" i="9" s="1"/>
  <c r="M35" i="9"/>
  <c r="U36" i="9" l="1"/>
  <c r="V36" i="9" s="1"/>
  <c r="I36" i="9" s="1"/>
  <c r="O35" i="9"/>
  <c r="L36" i="9"/>
  <c r="M36" i="9" l="1"/>
  <c r="H36" i="9"/>
  <c r="J36" i="9" s="1"/>
  <c r="K36" i="9" s="1"/>
  <c r="U37" i="9" l="1"/>
  <c r="V37" i="9" s="1"/>
  <c r="I37" i="9" s="1"/>
  <c r="O36" i="9" l="1"/>
  <c r="L37" i="9"/>
  <c r="H37" i="9" s="1"/>
  <c r="J37" i="9" s="1"/>
  <c r="K37" i="9" s="1"/>
  <c r="M37" i="9" l="1"/>
  <c r="U38" i="9"/>
  <c r="V38" i="9" s="1"/>
  <c r="I38" i="9" s="1"/>
  <c r="L38" i="9"/>
  <c r="O37" i="9"/>
  <c r="M38" i="9" l="1"/>
  <c r="H38" i="9"/>
  <c r="J38" i="9" s="1"/>
  <c r="K38" i="9" s="1"/>
  <c r="U39" i="9"/>
  <c r="V39" i="9" s="1"/>
  <c r="I39" i="9" s="1"/>
  <c r="L39" i="9" l="1"/>
  <c r="U40" i="9"/>
  <c r="V40" i="9" s="1"/>
  <c r="I40" i="9" s="1"/>
  <c r="O38" i="9" l="1"/>
  <c r="H39" i="9"/>
  <c r="J39" i="9" s="1"/>
  <c r="K39" i="9" s="1"/>
  <c r="O39" i="9" s="1"/>
  <c r="M39" i="9"/>
  <c r="U41" i="9"/>
  <c r="V41" i="9" s="1"/>
  <c r="I41" i="9" s="1"/>
  <c r="L40" i="9" l="1"/>
  <c r="H40" i="9" s="1"/>
  <c r="J40" i="9" s="1"/>
  <c r="K40" i="9" s="1"/>
  <c r="U42" i="9"/>
  <c r="V42" i="9" s="1"/>
  <c r="I42" i="9" s="1"/>
  <c r="M40" i="9" l="1"/>
  <c r="L41" i="9"/>
  <c r="H41" i="9" s="1"/>
  <c r="O40" i="9" l="1"/>
  <c r="M41" i="9"/>
  <c r="J41" i="9"/>
  <c r="K41" i="9" s="1"/>
  <c r="O41" i="9" l="1"/>
  <c r="L42" i="9"/>
  <c r="H42" i="9" s="1"/>
  <c r="M42" i="9" l="1"/>
  <c r="J42" i="9"/>
  <c r="K42" i="9" s="1"/>
  <c r="O42" i="9" l="1"/>
  <c r="G39" i="2"/>
  <c r="K21" i="2"/>
  <c r="K39" i="2" s="1"/>
  <c r="K36" i="2"/>
  <c r="G21" i="2"/>
  <c r="G40" i="2" s="1"/>
  <c r="G36" i="2"/>
  <c r="G37" i="2" s="1"/>
  <c r="H3" i="2" s="1"/>
  <c r="H21" i="2"/>
  <c r="H40" i="2" s="1"/>
  <c r="I21" i="2"/>
  <c r="I40" i="2" s="1"/>
  <c r="I36" i="2"/>
  <c r="J21" i="2"/>
  <c r="J40" i="2" s="1"/>
  <c r="J36" i="2"/>
  <c r="K40" i="2" l="1"/>
  <c r="I39" i="2"/>
  <c r="J39" i="2"/>
  <c r="H39" i="2"/>
  <c r="H36" i="2"/>
  <c r="H37" i="2" s="1"/>
  <c r="I3" i="2" s="1"/>
  <c r="I37" i="2" s="1"/>
  <c r="J3" i="2" s="1"/>
  <c r="J37" i="2" s="1"/>
  <c r="K3" i="2" s="1"/>
  <c r="K37" i="2" s="1"/>
  <c r="L3" i="2" s="1"/>
  <c r="C28" i="10" l="1"/>
  <c r="C29" i="10" l="1"/>
  <c r="H28" i="10"/>
  <c r="I28" i="10" s="1"/>
  <c r="C30" i="10" l="1"/>
  <c r="C31" i="10" s="1"/>
  <c r="J28" i="10"/>
  <c r="L28" i="10" s="1"/>
  <c r="H29" i="10"/>
  <c r="H30" i="10" l="1"/>
  <c r="P28" i="10"/>
  <c r="M29" i="10"/>
  <c r="I29" i="10" s="1"/>
  <c r="C32" i="10"/>
  <c r="N29" i="10" l="1"/>
  <c r="J29" i="10"/>
  <c r="L29" i="10" s="1"/>
  <c r="M30" i="10" l="1"/>
  <c r="I30" i="10" s="1"/>
  <c r="P29" i="10"/>
  <c r="N30" i="10" l="1"/>
  <c r="J30" i="10"/>
  <c r="K30" i="10" s="1"/>
  <c r="L30" i="10" l="1"/>
  <c r="P30" i="10" l="1"/>
  <c r="M31" i="10"/>
  <c r="I31" i="10" s="1"/>
  <c r="J31" i="10" s="1"/>
  <c r="K31" i="10" s="1"/>
  <c r="L31" i="10" l="1"/>
  <c r="N31" i="10"/>
  <c r="M32" i="10" l="1"/>
  <c r="I32" i="10" s="1"/>
  <c r="J32" i="10" s="1"/>
  <c r="K32" i="10" s="1"/>
  <c r="P31" i="10"/>
  <c r="N32" i="10" l="1"/>
  <c r="L32" i="10"/>
  <c r="R33" i="10" l="1"/>
  <c r="S33" i="10" s="1"/>
  <c r="N33" i="10"/>
  <c r="P32" i="10"/>
  <c r="L33" i="10" l="1"/>
  <c r="R34" i="10" s="1"/>
  <c r="L8" i="2"/>
  <c r="L9" i="2" s="1"/>
  <c r="L11" i="2" s="1"/>
  <c r="L13" i="2" s="1"/>
  <c r="L14" i="2" l="1"/>
  <c r="L21" i="2"/>
  <c r="R35" i="10" l="1"/>
  <c r="P34" i="10"/>
  <c r="M8" i="2"/>
  <c r="M9" i="2" s="1"/>
  <c r="M11" i="2" s="1"/>
  <c r="M13" i="2" s="1"/>
  <c r="L39" i="2"/>
  <c r="L36" i="2"/>
  <c r="L37" i="2" s="1"/>
  <c r="M3" i="2" s="1"/>
  <c r="L40" i="2"/>
  <c r="S35" i="10" l="1"/>
  <c r="L35" i="10"/>
  <c r="M21" i="2"/>
  <c r="M14" i="2"/>
  <c r="P35" i="10" l="1"/>
  <c r="N8" i="2"/>
  <c r="N9" i="2" s="1"/>
  <c r="N11" i="2" s="1"/>
  <c r="N13" i="2" s="1"/>
  <c r="R36" i="10"/>
  <c r="M39" i="2"/>
  <c r="M40" i="2"/>
  <c r="M36" i="2"/>
  <c r="M37" i="2" s="1"/>
  <c r="N3" i="2" s="1"/>
  <c r="S36" i="10" l="1"/>
  <c r="N14" i="2"/>
  <c r="N21" i="2"/>
  <c r="L36" i="10" l="1"/>
  <c r="P36" i="10" s="1"/>
  <c r="O8" i="2"/>
  <c r="O9" i="2" s="1"/>
  <c r="O11" i="2" s="1"/>
  <c r="O13" i="2" s="1"/>
  <c r="R37" i="10"/>
  <c r="N36" i="2"/>
  <c r="N37" i="2" s="1"/>
  <c r="O3" i="2" s="1"/>
  <c r="N40" i="2"/>
  <c r="N39" i="2"/>
  <c r="S37" i="10" l="1"/>
  <c r="O14" i="2"/>
  <c r="O21" i="2"/>
  <c r="L37" i="10" l="1"/>
  <c r="O39" i="2"/>
  <c r="O36" i="2"/>
  <c r="O37" i="2" s="1"/>
  <c r="P3" i="2" s="1"/>
  <c r="O40" i="2"/>
  <c r="K37" i="10" l="1"/>
  <c r="M38" i="10"/>
  <c r="R38" i="10"/>
  <c r="P8" i="2"/>
  <c r="P9" i="2" s="1"/>
  <c r="P11" i="2" s="1"/>
  <c r="P13" i="2" s="1"/>
  <c r="P14" i="2" s="1"/>
  <c r="P37" i="10"/>
  <c r="P21" i="2" l="1"/>
  <c r="P39" i="2" s="1"/>
  <c r="S38" i="10"/>
  <c r="P40" i="2"/>
  <c r="P36" i="2"/>
  <c r="P37" i="2" s="1"/>
  <c r="Q3" i="2" s="1"/>
  <c r="L38" i="10" l="1"/>
  <c r="K38" i="10" l="1"/>
  <c r="M39" i="10"/>
  <c r="Q8" i="2"/>
  <c r="Q9" i="2" s="1"/>
  <c r="Q11" i="2" s="1"/>
  <c r="Q13" i="2" s="1"/>
  <c r="P38" i="10"/>
  <c r="R39" i="10"/>
  <c r="S39" i="10" l="1"/>
  <c r="Q21" i="2"/>
  <c r="Q14" i="2"/>
  <c r="L39" i="10" l="1"/>
  <c r="Q40" i="2"/>
  <c r="Q36" i="2"/>
  <c r="Q37" i="2" s="1"/>
  <c r="R3" i="2" s="1"/>
  <c r="Q39" i="2"/>
  <c r="M40" i="10" l="1"/>
  <c r="K39" i="10"/>
  <c r="R8" i="2"/>
  <c r="R9" i="2" s="1"/>
  <c r="R11" i="2" s="1"/>
  <c r="R13" i="2" s="1"/>
  <c r="R40" i="10"/>
  <c r="P39" i="10"/>
  <c r="R14" i="2" l="1"/>
  <c r="R21" i="2"/>
  <c r="S40" i="10"/>
  <c r="R40" i="2" l="1"/>
  <c r="R39" i="2"/>
  <c r="R36" i="2"/>
  <c r="R37" i="2" s="1"/>
  <c r="S3" i="2" s="1"/>
  <c r="L40" i="10"/>
  <c r="K40" i="10" l="1"/>
  <c r="M41" i="10"/>
  <c r="S8" i="2"/>
  <c r="S9" i="2" s="1"/>
  <c r="S11" i="2" s="1"/>
  <c r="S13" i="2" s="1"/>
  <c r="P40" i="10"/>
  <c r="R41" i="10"/>
  <c r="S21" i="2" l="1"/>
  <c r="S14" i="2"/>
  <c r="S41" i="10"/>
  <c r="S40" i="2" l="1"/>
  <c r="S36" i="2"/>
  <c r="S37" i="2" s="1"/>
  <c r="T3" i="2" s="1"/>
  <c r="S39" i="2"/>
  <c r="L41" i="10"/>
  <c r="K41" i="10" l="1"/>
  <c r="M42" i="10"/>
  <c r="P41" i="10"/>
  <c r="T8" i="2"/>
  <c r="T9" i="2" s="1"/>
  <c r="T11" i="2" s="1"/>
  <c r="T13" i="2" s="1"/>
  <c r="R42" i="10"/>
  <c r="S42" i="10" l="1"/>
  <c r="T14" i="2"/>
  <c r="T21" i="2"/>
  <c r="L42" i="10" l="1"/>
  <c r="K42" i="10" s="1"/>
  <c r="T39" i="2"/>
  <c r="T36" i="2"/>
  <c r="T37" i="2" s="1"/>
  <c r="U3" i="2" s="1"/>
  <c r="T40" i="2"/>
  <c r="P42" i="10" l="1"/>
  <c r="U8" i="2"/>
  <c r="U9" i="2" s="1"/>
  <c r="U11" i="2" s="1"/>
  <c r="U13" i="2" s="1"/>
  <c r="U21" i="2" l="1"/>
  <c r="U14" i="2"/>
  <c r="U36" i="2" l="1"/>
  <c r="U37" i="2" s="1"/>
  <c r="U39" i="2"/>
  <c r="U40" i="2"/>
  <c r="P33" i="10"/>
  <c r="C33" i="10"/>
  <c r="E33" i="10" s="1"/>
  <c r="C34" i="10"/>
  <c r="E34" i="10" s="1"/>
  <c r="C35" i="10" l="1"/>
  <c r="N35" i="10"/>
  <c r="N34" i="10"/>
  <c r="N36" i="10" l="1"/>
  <c r="E35" i="10"/>
  <c r="C36" i="10"/>
  <c r="C37" i="10" l="1"/>
  <c r="N37" i="10"/>
  <c r="E36" i="10"/>
  <c r="C38" i="10" l="1"/>
  <c r="E37" i="10"/>
  <c r="N38" i="10"/>
  <c r="N39" i="10" l="1"/>
  <c r="E38" i="10"/>
  <c r="C39" i="10"/>
  <c r="C40" i="10" l="1"/>
  <c r="N40" i="10"/>
  <c r="E39" i="10"/>
  <c r="E40" i="10" l="1"/>
  <c r="N41" i="10"/>
  <c r="C41" i="10"/>
  <c r="N42" i="10" l="1"/>
  <c r="E41" i="10"/>
  <c r="C42" i="10"/>
  <c r="E42" i="10" l="1"/>
</calcChain>
</file>

<file path=xl/sharedStrings.xml><?xml version="1.0" encoding="utf-8"?>
<sst xmlns="http://schemas.openxmlformats.org/spreadsheetml/2006/main" count="183" uniqueCount="92">
  <si>
    <t>Collection Year</t>
  </si>
  <si>
    <t>Total Increment</t>
  </si>
  <si>
    <t>Mill Levy</t>
  </si>
  <si>
    <t>Property Tax Increment Revenue</t>
  </si>
  <si>
    <t>Increment Revneue Growth Rate</t>
  </si>
  <si>
    <t>Property Tax Increment</t>
  </si>
  <si>
    <t xml:space="preserve">Specific Ownership Tax </t>
  </si>
  <si>
    <t>Total Revenue</t>
  </si>
  <si>
    <t>Current Sales Tax Increment</t>
  </si>
  <si>
    <t>Specific Ownership Tax Increment</t>
  </si>
  <si>
    <t>90% Business Park City Match</t>
  </si>
  <si>
    <t>Expenses</t>
  </si>
  <si>
    <t>Operating Expenses</t>
  </si>
  <si>
    <t>Operating Expenses Growth Rate</t>
  </si>
  <si>
    <t>Beginning Fund Balance</t>
  </si>
  <si>
    <t>Ending Fund Balance</t>
  </si>
  <si>
    <t>Net Change in Fund Balance</t>
  </si>
  <si>
    <t>Debt Service</t>
  </si>
  <si>
    <t>Series 2012 Bonds</t>
  </si>
  <si>
    <t>Series 2017 Bonds</t>
  </si>
  <si>
    <t>Total Expenses</t>
  </si>
  <si>
    <t xml:space="preserve">Revenues </t>
  </si>
  <si>
    <t>Transfers-In</t>
  </si>
  <si>
    <t>Transfers-Out</t>
  </si>
  <si>
    <t>Gross Debt Service Coverage</t>
  </si>
  <si>
    <t>Net Debt Service Coverage</t>
  </si>
  <si>
    <t>Estimated</t>
  </si>
  <si>
    <t>Projected</t>
  </si>
  <si>
    <t>Transfers</t>
  </si>
  <si>
    <t>Increment w/o New Projects</t>
  </si>
  <si>
    <t>Increment from 2012 Development</t>
  </si>
  <si>
    <t>Principal Amounts</t>
  </si>
  <si>
    <t>Business Park</t>
  </si>
  <si>
    <t>Two Rivers Convention Center</t>
  </si>
  <si>
    <t>Refunding</t>
  </si>
  <si>
    <t>Total Net Debt Service</t>
  </si>
  <si>
    <t>Transfer from DSRF</t>
  </si>
  <si>
    <t>Actual</t>
  </si>
  <si>
    <t>Taxes</t>
  </si>
  <si>
    <t>Intergovernmental</t>
  </si>
  <si>
    <t>Investment Income</t>
  </si>
  <si>
    <t>Total Future Debt Service</t>
  </si>
  <si>
    <t>Average Annual Debt Service</t>
  </si>
  <si>
    <t>Dated Date</t>
  </si>
  <si>
    <t>Series 2017</t>
  </si>
  <si>
    <t>Total</t>
  </si>
  <si>
    <t>Series 2012</t>
  </si>
  <si>
    <t xml:space="preserve">Fiscal Year 2016 Pledged Revenues </t>
  </si>
  <si>
    <t>Total Fiscal Year 2016 Pledged Revenues</t>
  </si>
  <si>
    <t>First Debt Service Payment</t>
  </si>
  <si>
    <t>Final Debt Service Payment</t>
  </si>
  <si>
    <t>2017*</t>
  </si>
  <si>
    <t>Fiscal Year</t>
  </si>
  <si>
    <t>Debt Service Requirements</t>
  </si>
  <si>
    <t>Historic Revenues Test</t>
  </si>
  <si>
    <t>2017</t>
  </si>
  <si>
    <t>Number of Fiscal Years with Debt Outstanding</t>
  </si>
  <si>
    <t>Additional Bonds Test - Full Fiscal Years</t>
  </si>
  <si>
    <t>Additional Bonds Test - Prorated Years &amp; Full Debt Service</t>
  </si>
  <si>
    <t>* Includes $730,000 principal payment and $89,0005 interest payment due on 12/15/2017.</t>
  </si>
  <si>
    <t>Additional Bonds Test</t>
  </si>
  <si>
    <t>* Includes $730,000 principal payment and $38,074 of interest that will accrue between closing and 12/15/2017.</t>
  </si>
  <si>
    <t>Number of Fiscal Years with Outstanding Debt</t>
  </si>
  <si>
    <t>Total Assessed Value</t>
  </si>
  <si>
    <t>Valuation Allocable to Base</t>
  </si>
  <si>
    <t>AV Growth Rate from Reassessment</t>
  </si>
  <si>
    <t>AV Growth from Redevelopment</t>
  </si>
  <si>
    <t>Sales Tax Increment</t>
  </si>
  <si>
    <t>Current Year Assessed Value</t>
  </si>
  <si>
    <t>Current Year Adjusted Value</t>
  </si>
  <si>
    <t>AV Increase from Annexation</t>
  </si>
  <si>
    <t>AV Increase from Redevelopment</t>
  </si>
  <si>
    <t>Projected Growth from Reassessment</t>
  </si>
  <si>
    <t>Current Year Adjusted Base</t>
  </si>
  <si>
    <t>Prior Year Base Percentage</t>
  </si>
  <si>
    <t>Prior Year Increment Percentage</t>
  </si>
  <si>
    <t>Current Year Adjusted Increment</t>
  </si>
  <si>
    <t>Current Year Base</t>
  </si>
  <si>
    <t>Pre-Annexation Base</t>
  </si>
  <si>
    <t>Current Year Increment</t>
  </si>
  <si>
    <t>Base Collection Year</t>
  </si>
  <si>
    <t>Prior Year Base (Adjusted for Annexations) for Calculation</t>
  </si>
  <si>
    <t>Base Year Adjustment Factor for 1997 Inclusion</t>
  </si>
  <si>
    <t>Base Year Adjustment Factor for 1998 Inclusion</t>
  </si>
  <si>
    <t>Base Year Adjusted Base for 1997 Inclusion</t>
  </si>
  <si>
    <t>Base Year Adjusted Base for 1998 Inclusion</t>
  </si>
  <si>
    <t>Base Year Advanced Base Value</t>
  </si>
  <si>
    <t>Adjustment Factor to Year Prior Base</t>
  </si>
  <si>
    <t>Prior Year Base Advanced by One Year</t>
  </si>
  <si>
    <t>Adjustment Factor to 2022 Base</t>
  </si>
  <si>
    <t>AV Increase from Reassessment</t>
  </si>
  <si>
    <t>Current Year Adjusted Base including Reassessment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</si>
</sst>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164" formatCode="&quot;$&quot;#,##0"/>
    <numFmt numFmtId="165" formatCode="0.0%"/>
    <numFmt numFmtId="166" formatCode="&quot;$&quot;#,##0_);\(&quot;$&quot;#,##0\);\-_)"/>
    <numFmt numFmtId="167" formatCode="0.00\x"/>
    <numFmt numFmtId="168" formatCode="0.00&quot; years&quot;"/>
    <numFmt numFmtId="169" formatCode="&quot;$&quot;#,##0_);[Red]\(&quot;$&quot;#,##0\);\-_)"/>
    <numFmt numFmtId="170" formatCode="#.00&quot;x&quot;"/>
    <numFmt numFmtId="171" formatCode="0.00%;\-0.00%;\-"/>
    <numFmt numFmtId="172" formatCode="#,##0_);[Red]\(#,##0\);\-_)"/>
    <numFmt numFmtId="173" formatCode="0.00_);[Red]\(0.00\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64" fontId="0" fillId="0" borderId="0" xfId="0" applyNumberFormat="1"/>
    <xf numFmtId="165" fontId="0" fillId="0" borderId="1" xfId="0" applyNumberFormat="1" applyBorder="1"/>
    <xf numFmtId="0" fontId="0" fillId="0" borderId="3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165" fontId="0" fillId="0" borderId="0" xfId="0" applyNumberFormat="1" applyBorder="1"/>
    <xf numFmtId="0" fontId="0" fillId="0" borderId="0" xfId="0" quotePrefix="1" applyBorder="1" applyAlignment="1">
      <alignment horizontal="left" indent="1"/>
    </xf>
    <xf numFmtId="0" fontId="0" fillId="0" borderId="0" xfId="0" quotePrefix="1" applyAlignment="1">
      <alignment horizontal="left" indent="1"/>
    </xf>
    <xf numFmtId="0" fontId="0" fillId="0" borderId="0" xfId="0" quotePrefix="1" applyFont="1" applyAlignment="1">
      <alignment horizontal="left" inden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" fillId="0" borderId="0" xfId="0" applyFont="1" applyBorder="1"/>
    <xf numFmtId="0" fontId="0" fillId="0" borderId="2" xfId="0" applyFont="1" applyBorder="1"/>
    <xf numFmtId="0" fontId="2" fillId="0" borderId="2" xfId="0" quotePrefix="1" applyFont="1" applyBorder="1" applyAlignment="1">
      <alignment horizontal="left"/>
    </xf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/>
    <xf numFmtId="166" fontId="2" fillId="0" borderId="0" xfId="0" applyNumberFormat="1" applyFont="1" applyBorder="1"/>
    <xf numFmtId="166" fontId="0" fillId="0" borderId="0" xfId="0" applyNumberFormat="1"/>
    <xf numFmtId="166" fontId="2" fillId="0" borderId="4" xfId="0" applyNumberFormat="1" applyFont="1" applyBorder="1"/>
    <xf numFmtId="166" fontId="0" fillId="0" borderId="0" xfId="0" applyNumberFormat="1" applyBorder="1"/>
    <xf numFmtId="166" fontId="0" fillId="0" borderId="2" xfId="0" applyNumberFormat="1" applyBorder="1"/>
    <xf numFmtId="166" fontId="2" fillId="0" borderId="2" xfId="0" applyNumberFormat="1" applyFont="1" applyBorder="1"/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/>
    <xf numFmtId="167" fontId="2" fillId="0" borderId="2" xfId="0" applyNumberFormat="1" applyFont="1" applyBorder="1"/>
    <xf numFmtId="0" fontId="0" fillId="0" borderId="6" xfId="0" applyBorder="1" applyAlignment="1">
      <alignment horizontal="center"/>
    </xf>
    <xf numFmtId="166" fontId="2" fillId="0" borderId="7" xfId="0" applyNumberFormat="1" applyFont="1" applyBorder="1"/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/>
    <xf numFmtId="166" fontId="0" fillId="0" borderId="6" xfId="0" applyNumberFormat="1" applyBorder="1"/>
    <xf numFmtId="0" fontId="0" fillId="0" borderId="6" xfId="0" applyBorder="1"/>
    <xf numFmtId="166" fontId="0" fillId="0" borderId="8" xfId="0" applyNumberFormat="1" applyBorder="1"/>
    <xf numFmtId="165" fontId="0" fillId="0" borderId="5" xfId="0" applyNumberFormat="1" applyBorder="1"/>
    <xf numFmtId="0" fontId="0" fillId="0" borderId="7" xfId="0" applyBorder="1"/>
    <xf numFmtId="166" fontId="2" fillId="0" borderId="9" xfId="0" applyNumberFormat="1" applyFont="1" applyBorder="1"/>
    <xf numFmtId="165" fontId="0" fillId="0" borderId="6" xfId="0" applyNumberFormat="1" applyBorder="1"/>
    <xf numFmtId="166" fontId="2" fillId="0" borderId="6" xfId="0" applyNumberFormat="1" applyFont="1" applyBorder="1"/>
    <xf numFmtId="167" fontId="2" fillId="0" borderId="7" xfId="0" applyNumberFormat="1" applyFont="1" applyBorder="1"/>
    <xf numFmtId="0" fontId="0" fillId="0" borderId="10" xfId="0" applyBorder="1"/>
    <xf numFmtId="0" fontId="0" fillId="0" borderId="0" xfId="0" applyFont="1" applyBorder="1" applyAlignment="1">
      <alignment horizontal="left" indent="1"/>
    </xf>
    <xf numFmtId="0" fontId="0" fillId="0" borderId="0" xfId="0" quotePrefix="1" applyFont="1" applyBorder="1" applyAlignment="1">
      <alignment horizontal="left" inden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quotePrefix="1" applyAlignment="1">
      <alignment horizontal="left"/>
    </xf>
    <xf numFmtId="169" fontId="0" fillId="0" borderId="6" xfId="0" applyNumberFormat="1" applyBorder="1"/>
    <xf numFmtId="169" fontId="0" fillId="0" borderId="2" xfId="0" applyNumberFormat="1" applyBorder="1"/>
    <xf numFmtId="169" fontId="0" fillId="0" borderId="15" xfId="0" applyNumberFormat="1" applyBorder="1"/>
    <xf numFmtId="0" fontId="0" fillId="0" borderId="7" xfId="0" applyBorder="1" applyAlignment="1">
      <alignment horizontal="center"/>
    </xf>
    <xf numFmtId="14" fontId="0" fillId="0" borderId="17" xfId="0" applyNumberFormat="1" applyBorder="1"/>
    <xf numFmtId="168" fontId="0" fillId="0" borderId="15" xfId="0" applyNumberFormat="1" applyBorder="1"/>
    <xf numFmtId="6" fontId="0" fillId="0" borderId="13" xfId="0" applyNumberFormat="1" applyBorder="1"/>
    <xf numFmtId="6" fontId="0" fillId="0" borderId="17" xfId="0" applyNumberFormat="1" applyBorder="1"/>
    <xf numFmtId="6" fontId="0" fillId="0" borderId="18" xfId="0" applyNumberFormat="1" applyBorder="1"/>
    <xf numFmtId="166" fontId="0" fillId="0" borderId="15" xfId="0" applyNumberFormat="1" applyBorder="1"/>
    <xf numFmtId="0" fontId="3" fillId="0" borderId="15" xfId="0" applyFont="1" applyFill="1" applyBorder="1" applyAlignment="1">
      <alignment horizontal="center"/>
    </xf>
    <xf numFmtId="14" fontId="0" fillId="0" borderId="6" xfId="0" applyNumberFormat="1" applyBorder="1"/>
    <xf numFmtId="0" fontId="3" fillId="3" borderId="5" xfId="0" applyFont="1" applyFill="1" applyBorder="1" applyAlignment="1">
      <alignment horizontal="center"/>
    </xf>
    <xf numFmtId="170" fontId="0" fillId="0" borderId="7" xfId="0" applyNumberFormat="1" applyBorder="1"/>
    <xf numFmtId="0" fontId="0" fillId="0" borderId="11" xfId="0" quotePrefix="1" applyBorder="1" applyAlignment="1">
      <alignment horizontal="center"/>
    </xf>
    <xf numFmtId="165" fontId="0" fillId="0" borderId="0" xfId="0" applyNumberFormat="1"/>
    <xf numFmtId="10" fontId="0" fillId="0" borderId="0" xfId="0" applyNumberFormat="1" applyBorder="1"/>
    <xf numFmtId="10" fontId="0" fillId="0" borderId="6" xfId="0" applyNumberFormat="1" applyBorder="1"/>
    <xf numFmtId="0" fontId="0" fillId="0" borderId="0" xfId="0" applyAlignment="1">
      <alignment horizontal="center"/>
    </xf>
    <xf numFmtId="172" fontId="0" fillId="0" borderId="0" xfId="0" applyNumberFormat="1"/>
    <xf numFmtId="172" fontId="0" fillId="4" borderId="0" xfId="0" applyNumberFormat="1" applyFill="1"/>
    <xf numFmtId="0" fontId="0" fillId="0" borderId="11" xfId="0" applyBorder="1" applyAlignment="1">
      <alignment horizontal="center"/>
    </xf>
    <xf numFmtId="169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171" fontId="0" fillId="0" borderId="0" xfId="0" applyNumberFormat="1" applyFill="1"/>
    <xf numFmtId="10" fontId="0" fillId="0" borderId="0" xfId="0" applyNumberFormat="1"/>
    <xf numFmtId="172" fontId="0" fillId="4" borderId="1" xfId="0" applyNumberFormat="1" applyFill="1" applyBorder="1"/>
    <xf numFmtId="171" fontId="0" fillId="0" borderId="1" xfId="0" applyNumberFormat="1" applyFill="1" applyBorder="1"/>
    <xf numFmtId="172" fontId="0" fillId="0" borderId="1" xfId="0" applyNumberFormat="1" applyBorder="1"/>
    <xf numFmtId="10" fontId="0" fillId="0" borderId="1" xfId="0" applyNumberFormat="1" applyBorder="1"/>
    <xf numFmtId="0" fontId="0" fillId="3" borderId="0" xfId="0" applyFill="1" applyAlignment="1">
      <alignment horizontal="center"/>
    </xf>
    <xf numFmtId="172" fontId="0" fillId="3" borderId="0" xfId="0" applyNumberFormat="1" applyFill="1"/>
    <xf numFmtId="171" fontId="0" fillId="3" borderId="0" xfId="0" applyNumberFormat="1" applyFill="1"/>
    <xf numFmtId="10" fontId="0" fillId="3" borderId="0" xfId="0" applyNumberFormat="1" applyFill="1"/>
    <xf numFmtId="0" fontId="0" fillId="0" borderId="17" xfId="0" quotePrefix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172" fontId="0" fillId="0" borderId="0" xfId="0" applyNumberFormat="1" applyBorder="1"/>
    <xf numFmtId="173" fontId="0" fillId="3" borderId="3" xfId="0" applyNumberFormat="1" applyFill="1" applyBorder="1"/>
    <xf numFmtId="172" fontId="0" fillId="3" borderId="3" xfId="0" applyNumberFormat="1" applyFill="1" applyBorder="1"/>
    <xf numFmtId="173" fontId="0" fillId="3" borderId="0" xfId="0" applyNumberFormat="1" applyFill="1" applyBorder="1"/>
    <xf numFmtId="172" fontId="0" fillId="3" borderId="0" xfId="0" applyNumberFormat="1" applyFill="1" applyBorder="1"/>
    <xf numFmtId="0" fontId="0" fillId="0" borderId="12" xfId="0" applyBorder="1" applyAlignment="1">
      <alignment horizontal="center" wrapText="1"/>
    </xf>
    <xf numFmtId="0" fontId="0" fillId="0" borderId="13" xfId="0" quotePrefix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quotePrefix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71" fontId="0" fillId="0" borderId="0" xfId="0" applyNumberFormat="1" applyFill="1" applyBorder="1"/>
    <xf numFmtId="0" fontId="0" fillId="0" borderId="0" xfId="0" applyBorder="1"/>
    <xf numFmtId="0" fontId="0" fillId="0" borderId="17" xfId="0" applyBorder="1"/>
    <xf numFmtId="172" fontId="0" fillId="0" borderId="0" xfId="0" applyNumberFormat="1" applyFill="1" applyBorder="1"/>
    <xf numFmtId="172" fontId="0" fillId="4" borderId="0" xfId="0" applyNumberFormat="1" applyFill="1" applyBorder="1"/>
    <xf numFmtId="0" fontId="0" fillId="0" borderId="16" xfId="0" applyBorder="1" applyAlignment="1">
      <alignment horizontal="center"/>
    </xf>
    <xf numFmtId="0" fontId="0" fillId="3" borderId="11" xfId="0" applyFill="1" applyBorder="1" applyAlignment="1">
      <alignment horizontal="center"/>
    </xf>
    <xf numFmtId="171" fontId="0" fillId="3" borderId="0" xfId="0" applyNumberFormat="1" applyFill="1" applyBorder="1"/>
    <xf numFmtId="10" fontId="0" fillId="3" borderId="0" xfId="0" applyNumberFormat="1" applyFill="1" applyBorder="1"/>
    <xf numFmtId="172" fontId="0" fillId="3" borderId="13" xfId="0" applyNumberFormat="1" applyFill="1" applyBorder="1"/>
    <xf numFmtId="172" fontId="0" fillId="3" borderId="17" xfId="0" applyNumberFormat="1" applyFill="1" applyBorder="1"/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71" fontId="0" fillId="3" borderId="1" xfId="0" applyNumberFormat="1" applyFill="1" applyBorder="1"/>
    <xf numFmtId="172" fontId="0" fillId="3" borderId="1" xfId="0" applyNumberFormat="1" applyFill="1" applyBorder="1"/>
    <xf numFmtId="10" fontId="0" fillId="3" borderId="1" xfId="0" applyNumberFormat="1" applyFill="1" applyBorder="1"/>
    <xf numFmtId="173" fontId="0" fillId="3" borderId="1" xfId="0" applyNumberFormat="1" applyFill="1" applyBorder="1"/>
    <xf numFmtId="172" fontId="0" fillId="3" borderId="18" xfId="0" applyNumberFormat="1" applyFill="1" applyBorder="1"/>
    <xf numFmtId="10" fontId="0" fillId="0" borderId="0" xfId="0" applyNumberFormat="1" applyFill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1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4" xfId="0" quotePrefix="1" applyFont="1" applyFill="1" applyBorder="1" applyAlignment="1">
      <alignment horizontal="left"/>
    </xf>
    <xf numFmtId="0" fontId="3" fillId="0" borderId="15" xfId="0" quotePrefix="1" applyFont="1" applyFill="1" applyBorder="1" applyAlignment="1">
      <alignment horizontal="left"/>
    </xf>
    <xf numFmtId="0" fontId="0" fillId="0" borderId="12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16" xfId="0" quotePrefix="1" applyBorder="1" applyAlignment="1">
      <alignment horizontal="left" indent="1"/>
    </xf>
    <xf numFmtId="0" fontId="0" fillId="0" borderId="18" xfId="0" quotePrefix="1" applyBorder="1" applyAlignment="1">
      <alignment horizontal="left" indent="1"/>
    </xf>
    <xf numFmtId="0" fontId="0" fillId="0" borderId="14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1" fillId="2" borderId="0" xfId="0" applyFont="1" applyFill="1" applyAlignment="1">
      <alignment horizontal="center"/>
    </xf>
    <xf numFmtId="0" fontId="0" fillId="0" borderId="14" xfId="0" quotePrefix="1" applyFont="1" applyBorder="1" applyAlignment="1">
      <alignment horizontal="left"/>
    </xf>
    <xf numFmtId="0" fontId="0" fillId="0" borderId="15" xfId="0" quotePrefix="1" applyFont="1" applyBorder="1" applyAlignment="1">
      <alignment horizontal="left"/>
    </xf>
    <xf numFmtId="0" fontId="0" fillId="0" borderId="16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1" fillId="2" borderId="14" xfId="0" quotePrefix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16" zoomScaleNormal="100" workbookViewId="0">
      <selection activeCell="F33" sqref="F33"/>
    </sheetView>
  </sheetViews>
  <sheetFormatPr defaultRowHeight="14.5" x14ac:dyDescent="0.35"/>
  <cols>
    <col min="1" max="1" width="31.453125" bestFit="1" customWidth="1"/>
    <col min="2" max="3" width="12.453125" hidden="1" customWidth="1"/>
    <col min="4" max="4" width="13.453125" hidden="1" customWidth="1"/>
    <col min="5" max="16" width="12.453125" bestFit="1" customWidth="1"/>
    <col min="17" max="21" width="12.453125" hidden="1" customWidth="1"/>
  </cols>
  <sheetData>
    <row r="1" spans="1:21" x14ac:dyDescent="0.35">
      <c r="E1" s="30" t="s">
        <v>26</v>
      </c>
      <c r="F1" s="121" t="s">
        <v>27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21" x14ac:dyDescent="0.35">
      <c r="A2" s="46" t="s">
        <v>0</v>
      </c>
      <c r="B2" s="47">
        <v>2013</v>
      </c>
      <c r="C2" s="47">
        <f t="shared" ref="C2:K2" si="0">B2+1</f>
        <v>2014</v>
      </c>
      <c r="D2" s="47">
        <f t="shared" si="0"/>
        <v>2015</v>
      </c>
      <c r="E2" s="48">
        <f t="shared" si="0"/>
        <v>2016</v>
      </c>
      <c r="F2" s="47">
        <f t="shared" si="0"/>
        <v>2017</v>
      </c>
      <c r="G2" s="47">
        <f t="shared" si="0"/>
        <v>2018</v>
      </c>
      <c r="H2" s="47">
        <f t="shared" si="0"/>
        <v>2019</v>
      </c>
      <c r="I2" s="47">
        <f t="shared" si="0"/>
        <v>2020</v>
      </c>
      <c r="J2" s="47">
        <f t="shared" si="0"/>
        <v>2021</v>
      </c>
      <c r="K2" s="47">
        <f t="shared" si="0"/>
        <v>2022</v>
      </c>
      <c r="L2" s="47">
        <f t="shared" ref="L2:U2" si="1">K2+1</f>
        <v>2023</v>
      </c>
      <c r="M2" s="47">
        <f t="shared" si="1"/>
        <v>2024</v>
      </c>
      <c r="N2" s="47">
        <f t="shared" si="1"/>
        <v>2025</v>
      </c>
      <c r="O2" s="47">
        <f t="shared" si="1"/>
        <v>2026</v>
      </c>
      <c r="P2" s="47">
        <f t="shared" si="1"/>
        <v>2027</v>
      </c>
      <c r="Q2" s="11">
        <f t="shared" si="1"/>
        <v>2028</v>
      </c>
      <c r="R2" s="11">
        <f t="shared" si="1"/>
        <v>2029</v>
      </c>
      <c r="S2" s="11">
        <f t="shared" si="1"/>
        <v>2030</v>
      </c>
      <c r="T2" s="11">
        <f t="shared" si="1"/>
        <v>2031</v>
      </c>
      <c r="U2" s="11">
        <f t="shared" si="1"/>
        <v>2032</v>
      </c>
    </row>
    <row r="3" spans="1:21" x14ac:dyDescent="0.35">
      <c r="A3" s="16" t="s">
        <v>14</v>
      </c>
      <c r="B3" s="26">
        <v>0</v>
      </c>
      <c r="C3" s="26">
        <f t="shared" ref="C3:K3" si="2">B35</f>
        <v>927610.98</v>
      </c>
      <c r="D3" s="26">
        <f t="shared" si="2"/>
        <v>1810050</v>
      </c>
      <c r="E3" s="31">
        <f t="shared" si="2"/>
        <v>1606862.02</v>
      </c>
      <c r="F3" s="26">
        <f t="shared" si="2"/>
        <v>1600000</v>
      </c>
      <c r="G3" s="26">
        <f t="shared" si="2"/>
        <v>500943</v>
      </c>
      <c r="H3" s="26">
        <f t="shared" si="2"/>
        <v>1183635.1313456888</v>
      </c>
      <c r="I3" s="26">
        <f t="shared" si="2"/>
        <v>1886173.1813053987</v>
      </c>
      <c r="J3" s="26">
        <f t="shared" si="2"/>
        <v>2634025.4396152296</v>
      </c>
      <c r="K3" s="26">
        <f t="shared" si="2"/>
        <v>3401615.7513094279</v>
      </c>
      <c r="L3" s="26">
        <f t="shared" ref="L3:U3" si="3">K35</f>
        <v>4221768.1222300567</v>
      </c>
      <c r="M3" s="26">
        <f t="shared" si="3"/>
        <v>5041105.2796132155</v>
      </c>
      <c r="N3" s="26">
        <f t="shared" si="3"/>
        <v>5860544.338688558</v>
      </c>
      <c r="O3" s="26">
        <f t="shared" si="3"/>
        <v>6681002.4146857373</v>
      </c>
      <c r="P3" s="26">
        <f t="shared" si="3"/>
        <v>7500849.0805298146</v>
      </c>
      <c r="Q3" s="26">
        <f t="shared" si="3"/>
        <v>8318555.8108380344</v>
      </c>
      <c r="R3" s="26">
        <f t="shared" si="3"/>
        <v>9546727.2540290095</v>
      </c>
      <c r="S3" s="26">
        <f t="shared" si="3"/>
        <v>10774898.697219985</v>
      </c>
      <c r="T3" s="26">
        <f t="shared" si="3"/>
        <v>12001643.516720388</v>
      </c>
      <c r="U3" s="26">
        <f t="shared" si="3"/>
        <v>13228184.532836424</v>
      </c>
    </row>
    <row r="4" spans="1:21" x14ac:dyDescent="0.35">
      <c r="A4" s="14" t="s">
        <v>21</v>
      </c>
      <c r="B4" s="27"/>
      <c r="C4" s="27"/>
      <c r="D4" s="27"/>
      <c r="E4" s="32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x14ac:dyDescent="0.35">
      <c r="A5" s="15" t="s">
        <v>5</v>
      </c>
      <c r="B5" s="25"/>
      <c r="C5" s="25"/>
      <c r="D5" s="25"/>
      <c r="E5" s="33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x14ac:dyDescent="0.35">
      <c r="A6" s="6" t="s">
        <v>29</v>
      </c>
      <c r="B6" s="24">
        <v>20744720</v>
      </c>
      <c r="C6" s="24">
        <v>21549790</v>
      </c>
      <c r="D6" s="24">
        <v>20257447</v>
      </c>
      <c r="E6" s="34">
        <v>20218894</v>
      </c>
      <c r="F6" s="24">
        <v>20421083</v>
      </c>
      <c r="G6" s="24">
        <v>21154183</v>
      </c>
      <c r="H6" s="24">
        <v>21365725</v>
      </c>
      <c r="I6" s="24">
        <v>22101408</v>
      </c>
      <c r="J6" s="24">
        <v>22322422</v>
      </c>
      <c r="K6" s="24">
        <v>23060600</v>
      </c>
      <c r="L6" s="24">
        <v>23060600</v>
      </c>
      <c r="M6" s="24">
        <v>23060600</v>
      </c>
      <c r="N6" s="24">
        <v>23060600</v>
      </c>
      <c r="O6" s="24">
        <v>23060600</v>
      </c>
      <c r="P6" s="24">
        <v>23060600</v>
      </c>
      <c r="Q6" s="24">
        <v>23060600</v>
      </c>
      <c r="R6" s="24">
        <v>23060600</v>
      </c>
      <c r="S6" s="24">
        <v>23060600</v>
      </c>
      <c r="T6" s="24">
        <v>23060600</v>
      </c>
      <c r="U6" s="24">
        <v>23060600</v>
      </c>
    </row>
    <row r="7" spans="1:21" x14ac:dyDescent="0.35">
      <c r="A7" s="8" t="s">
        <v>30</v>
      </c>
      <c r="B7" s="24"/>
      <c r="C7" s="24"/>
      <c r="D7" s="24"/>
      <c r="E7" s="3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</row>
    <row r="8" spans="1:21" x14ac:dyDescent="0.35">
      <c r="A8" s="13" t="s">
        <v>1</v>
      </c>
      <c r="B8" s="25"/>
      <c r="C8" s="25"/>
      <c r="D8" s="25"/>
      <c r="E8" s="33">
        <f t="shared" ref="E8:P8" si="4">SUM(E6:E7)</f>
        <v>20218894</v>
      </c>
      <c r="F8" s="25">
        <f t="shared" si="4"/>
        <v>20421083</v>
      </c>
      <c r="G8" s="25">
        <f t="shared" si="4"/>
        <v>21154183</v>
      </c>
      <c r="H8" s="25">
        <f t="shared" si="4"/>
        <v>21365725</v>
      </c>
      <c r="I8" s="25">
        <f t="shared" si="4"/>
        <v>22101408</v>
      </c>
      <c r="J8" s="25">
        <f t="shared" si="4"/>
        <v>22322422</v>
      </c>
      <c r="K8" s="25">
        <f t="shared" si="4"/>
        <v>23060600</v>
      </c>
      <c r="L8" s="25">
        <f t="shared" si="4"/>
        <v>23060600</v>
      </c>
      <c r="M8" s="25">
        <f t="shared" si="4"/>
        <v>23060600</v>
      </c>
      <c r="N8" s="25">
        <f t="shared" si="4"/>
        <v>23060600</v>
      </c>
      <c r="O8" s="25">
        <f t="shared" si="4"/>
        <v>23060600</v>
      </c>
      <c r="P8" s="25">
        <f t="shared" si="4"/>
        <v>23060600</v>
      </c>
      <c r="Q8" s="24">
        <f t="shared" ref="Q8" si="5">SUM(Q6:Q7)</f>
        <v>23060600</v>
      </c>
      <c r="R8" s="24">
        <f t="shared" ref="R8" si="6">SUM(R6:R7)</f>
        <v>23060600</v>
      </c>
      <c r="S8" s="24">
        <f t="shared" ref="S8" si="7">SUM(S6:S7)</f>
        <v>23060600</v>
      </c>
      <c r="T8" s="24">
        <f t="shared" ref="T8" si="8">SUM(T6:T7)</f>
        <v>23060600</v>
      </c>
      <c r="U8" s="24">
        <f t="shared" ref="U8" si="9">SUM(U6:U7)</f>
        <v>23060600</v>
      </c>
    </row>
    <row r="9" spans="1:21" x14ac:dyDescent="0.35">
      <c r="A9" s="4" t="s">
        <v>2</v>
      </c>
      <c r="B9">
        <v>55.052999999999997</v>
      </c>
      <c r="C9">
        <v>56.423000000000002</v>
      </c>
      <c r="D9">
        <v>55.555999999999997</v>
      </c>
      <c r="E9" s="35">
        <v>56.694000000000003</v>
      </c>
      <c r="F9">
        <v>56.694000000000003</v>
      </c>
      <c r="G9">
        <v>56.694000000000003</v>
      </c>
      <c r="H9">
        <v>56.694000000000003</v>
      </c>
      <c r="I9">
        <v>56.694000000000003</v>
      </c>
      <c r="J9">
        <v>56.694000000000003</v>
      </c>
      <c r="K9">
        <v>56.694000000000003</v>
      </c>
      <c r="L9">
        <v>56.694000000000003</v>
      </c>
      <c r="M9">
        <v>56.694000000000003</v>
      </c>
      <c r="N9">
        <v>56.694000000000003</v>
      </c>
      <c r="O9">
        <v>56.694000000000003</v>
      </c>
      <c r="P9">
        <v>56.694000000000003</v>
      </c>
      <c r="Q9">
        <v>56.694000000000003</v>
      </c>
      <c r="R9">
        <v>56.694000000000003</v>
      </c>
      <c r="S9">
        <v>56.694000000000003</v>
      </c>
      <c r="T9">
        <v>56.694000000000003</v>
      </c>
      <c r="U9">
        <v>56.694000000000003</v>
      </c>
    </row>
    <row r="10" spans="1:21" x14ac:dyDescent="0.35">
      <c r="A10" s="3" t="s">
        <v>3</v>
      </c>
      <c r="B10" s="28">
        <v>1142057</v>
      </c>
      <c r="C10" s="28">
        <v>1215904</v>
      </c>
      <c r="D10" s="28">
        <v>1125413</v>
      </c>
      <c r="E10" s="36">
        <v>1146290</v>
      </c>
      <c r="F10" s="28">
        <v>1157753</v>
      </c>
      <c r="G10" s="28">
        <v>1199315</v>
      </c>
      <c r="H10" s="28">
        <v>1211308</v>
      </c>
      <c r="I10" s="28">
        <v>1253017</v>
      </c>
      <c r="J10" s="28">
        <v>1265547</v>
      </c>
      <c r="K10" s="28">
        <v>1307398</v>
      </c>
      <c r="L10" s="28">
        <v>1307398</v>
      </c>
      <c r="M10" s="28">
        <v>1307398</v>
      </c>
      <c r="N10" s="28">
        <v>1307398</v>
      </c>
      <c r="O10" s="28">
        <v>1307398</v>
      </c>
      <c r="P10" s="28">
        <v>1307398</v>
      </c>
      <c r="Q10" s="28">
        <v>1307398</v>
      </c>
      <c r="R10" s="28">
        <v>1307398</v>
      </c>
      <c r="S10" s="28">
        <v>1307398</v>
      </c>
      <c r="T10" s="28">
        <v>1307398</v>
      </c>
      <c r="U10" s="28">
        <v>1307398</v>
      </c>
    </row>
    <row r="11" spans="1:21" x14ac:dyDescent="0.35">
      <c r="A11" s="5" t="s">
        <v>4</v>
      </c>
      <c r="B11" s="2">
        <v>3.3000000000000002E-2</v>
      </c>
      <c r="C11" s="2">
        <f t="shared" ref="C11:U11" si="10">C10/B10-1</f>
        <v>6.4661396059916498E-2</v>
      </c>
      <c r="D11" s="2">
        <f t="shared" si="10"/>
        <v>-7.442281627496905E-2</v>
      </c>
      <c r="E11" s="37">
        <f t="shared" si="10"/>
        <v>1.8550523230138616E-2</v>
      </c>
      <c r="F11" s="2">
        <f t="shared" si="10"/>
        <v>1.0000087237959088E-2</v>
      </c>
      <c r="G11" s="2">
        <f t="shared" si="10"/>
        <v>3.5898848890911994E-2</v>
      </c>
      <c r="H11" s="2">
        <f t="shared" si="10"/>
        <v>9.9998749286049904E-3</v>
      </c>
      <c r="I11" s="2">
        <f t="shared" si="10"/>
        <v>3.4433026117222099E-2</v>
      </c>
      <c r="J11" s="2">
        <f t="shared" si="10"/>
        <v>9.9998643274592514E-3</v>
      </c>
      <c r="K11" s="2">
        <f t="shared" si="10"/>
        <v>3.3069494850843206E-2</v>
      </c>
      <c r="L11" s="2">
        <f t="shared" si="10"/>
        <v>0</v>
      </c>
      <c r="M11" s="2">
        <f t="shared" si="10"/>
        <v>0</v>
      </c>
      <c r="N11" s="2">
        <f t="shared" si="10"/>
        <v>0</v>
      </c>
      <c r="O11" s="2">
        <f t="shared" si="10"/>
        <v>0</v>
      </c>
      <c r="P11" s="2">
        <f t="shared" si="10"/>
        <v>0</v>
      </c>
      <c r="Q11" s="2">
        <f t="shared" si="10"/>
        <v>0</v>
      </c>
      <c r="R11" s="2">
        <f t="shared" si="10"/>
        <v>0</v>
      </c>
      <c r="S11" s="2">
        <f t="shared" si="10"/>
        <v>0</v>
      </c>
      <c r="T11" s="2">
        <f t="shared" si="10"/>
        <v>0</v>
      </c>
      <c r="U11" s="2">
        <f t="shared" si="10"/>
        <v>0</v>
      </c>
    </row>
    <row r="12" spans="1:21" x14ac:dyDescent="0.35">
      <c r="A12" s="15" t="s">
        <v>6</v>
      </c>
      <c r="B12" s="12"/>
      <c r="C12" s="12"/>
      <c r="D12" s="12"/>
      <c r="E12" s="38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x14ac:dyDescent="0.35">
      <c r="A13" s="8" t="s">
        <v>9</v>
      </c>
      <c r="B13" s="24">
        <v>150000</v>
      </c>
      <c r="C13" s="24">
        <v>153000</v>
      </c>
      <c r="D13" s="24">
        <v>159135</v>
      </c>
      <c r="E13" s="34">
        <v>146501</v>
      </c>
      <c r="F13" s="24">
        <v>160000</v>
      </c>
      <c r="G13" s="24">
        <v>163200</v>
      </c>
      <c r="H13" s="24">
        <v>166464</v>
      </c>
      <c r="I13" s="24">
        <v>169793</v>
      </c>
      <c r="J13" s="24">
        <v>173189</v>
      </c>
      <c r="K13" s="24">
        <v>176653</v>
      </c>
      <c r="L13" s="24">
        <v>176653</v>
      </c>
      <c r="M13" s="24">
        <v>176653</v>
      </c>
      <c r="N13" s="24">
        <v>176653</v>
      </c>
      <c r="O13" s="24">
        <v>176653</v>
      </c>
      <c r="P13" s="24">
        <v>176653</v>
      </c>
      <c r="Q13" s="24">
        <v>176653</v>
      </c>
      <c r="R13" s="24">
        <v>176653</v>
      </c>
      <c r="S13" s="24">
        <v>176653</v>
      </c>
      <c r="T13" s="24">
        <v>176653</v>
      </c>
      <c r="U13" s="24">
        <v>176653</v>
      </c>
    </row>
    <row r="14" spans="1:21" x14ac:dyDescent="0.35">
      <c r="A14" s="5" t="s">
        <v>4</v>
      </c>
      <c r="B14" s="2">
        <v>-0.31919999999999998</v>
      </c>
      <c r="C14" s="2">
        <f t="shared" ref="C14:U14" si="11">C13/B13-1</f>
        <v>2.0000000000000018E-2</v>
      </c>
      <c r="D14" s="2">
        <f t="shared" si="11"/>
        <v>4.0098039215686221E-2</v>
      </c>
      <c r="E14" s="37">
        <f t="shared" si="11"/>
        <v>-7.9391711439972368E-2</v>
      </c>
      <c r="F14" s="2">
        <f t="shared" si="11"/>
        <v>9.2142715749380599E-2</v>
      </c>
      <c r="G14" s="2">
        <f t="shared" si="11"/>
        <v>2.0000000000000018E-2</v>
      </c>
      <c r="H14" s="2">
        <f t="shared" si="11"/>
        <v>2.0000000000000018E-2</v>
      </c>
      <c r="I14" s="2">
        <f t="shared" si="11"/>
        <v>1.9998317954632805E-2</v>
      </c>
      <c r="J14" s="2">
        <f t="shared" si="11"/>
        <v>2.0000824533402461E-2</v>
      </c>
      <c r="K14" s="2">
        <f t="shared" si="11"/>
        <v>2.0001270288528827E-2</v>
      </c>
      <c r="L14" s="2">
        <f t="shared" si="11"/>
        <v>0</v>
      </c>
      <c r="M14" s="2">
        <f t="shared" si="11"/>
        <v>0</v>
      </c>
      <c r="N14" s="2">
        <f t="shared" si="11"/>
        <v>0</v>
      </c>
      <c r="O14" s="2">
        <f t="shared" si="11"/>
        <v>0</v>
      </c>
      <c r="P14" s="2">
        <f t="shared" si="11"/>
        <v>0</v>
      </c>
      <c r="Q14" s="2">
        <f t="shared" si="11"/>
        <v>0</v>
      </c>
      <c r="R14" s="2">
        <f t="shared" si="11"/>
        <v>0</v>
      </c>
      <c r="S14" s="2">
        <f t="shared" si="11"/>
        <v>0</v>
      </c>
      <c r="T14" s="2">
        <f t="shared" si="11"/>
        <v>0</v>
      </c>
      <c r="U14" s="2">
        <f t="shared" si="11"/>
        <v>0</v>
      </c>
    </row>
    <row r="15" spans="1:21" x14ac:dyDescent="0.35">
      <c r="A15" s="15" t="s">
        <v>8</v>
      </c>
      <c r="B15" s="12"/>
      <c r="C15" s="12"/>
      <c r="D15" s="12"/>
      <c r="E15" s="3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x14ac:dyDescent="0.35">
      <c r="A16" s="10" t="s">
        <v>8</v>
      </c>
      <c r="B16" s="24">
        <v>489868</v>
      </c>
      <c r="C16" s="24">
        <v>489868</v>
      </c>
      <c r="D16" s="24">
        <v>504564</v>
      </c>
      <c r="E16" s="34">
        <v>412867</v>
      </c>
      <c r="F16" s="24">
        <v>170000</v>
      </c>
      <c r="G16" s="24">
        <f t="shared" ref="G16:P16" si="12">F16*(1+G14)</f>
        <v>173400</v>
      </c>
      <c r="H16" s="24">
        <f t="shared" si="12"/>
        <v>176868</v>
      </c>
      <c r="I16" s="24">
        <f t="shared" si="12"/>
        <v>180405.0625</v>
      </c>
      <c r="J16" s="24">
        <f t="shared" si="12"/>
        <v>184013.3125</v>
      </c>
      <c r="K16" s="24">
        <f t="shared" si="12"/>
        <v>187693.81250000003</v>
      </c>
      <c r="L16" s="24">
        <f t="shared" si="12"/>
        <v>187693.81250000003</v>
      </c>
      <c r="M16" s="24">
        <f t="shared" si="12"/>
        <v>187693.81250000003</v>
      </c>
      <c r="N16" s="24">
        <f t="shared" si="12"/>
        <v>187693.81250000003</v>
      </c>
      <c r="O16" s="24">
        <f t="shared" si="12"/>
        <v>187693.81250000003</v>
      </c>
      <c r="P16" s="24">
        <f t="shared" si="12"/>
        <v>187693.81250000003</v>
      </c>
      <c r="Q16" s="24">
        <v>596630</v>
      </c>
      <c r="R16" s="24">
        <v>596630</v>
      </c>
      <c r="S16" s="24">
        <v>596630</v>
      </c>
      <c r="T16" s="24">
        <v>596630</v>
      </c>
      <c r="U16" s="24">
        <v>596630</v>
      </c>
    </row>
    <row r="17" spans="1:21" x14ac:dyDescent="0.35">
      <c r="A17" s="9" t="s">
        <v>10</v>
      </c>
      <c r="B17" s="24">
        <v>0</v>
      </c>
      <c r="C17" s="24">
        <v>0</v>
      </c>
      <c r="D17" s="24">
        <v>0</v>
      </c>
      <c r="E17" s="34">
        <v>0</v>
      </c>
      <c r="F17" s="24">
        <v>0</v>
      </c>
      <c r="G17" s="24">
        <f t="shared" ref="G17:P17" si="13">0.9*$E$42/$E$45*G26</f>
        <v>821377.13134568895</v>
      </c>
      <c r="H17" s="24">
        <f t="shared" si="13"/>
        <v>820298.04995970987</v>
      </c>
      <c r="I17" s="24">
        <f t="shared" si="13"/>
        <v>823437.1958098308</v>
      </c>
      <c r="J17" s="24">
        <f t="shared" si="13"/>
        <v>823240.99919419829</v>
      </c>
      <c r="K17" s="24">
        <f t="shared" si="13"/>
        <v>819807.55842062854</v>
      </c>
      <c r="L17" s="24">
        <f t="shared" si="13"/>
        <v>820592.3448831588</v>
      </c>
      <c r="M17" s="24">
        <f t="shared" si="13"/>
        <v>820494.24657534249</v>
      </c>
      <c r="N17" s="24">
        <f t="shared" si="13"/>
        <v>819513.26349717972</v>
      </c>
      <c r="O17" s="24">
        <f t="shared" si="13"/>
        <v>820101.85334407736</v>
      </c>
      <c r="P17" s="24">
        <f t="shared" si="13"/>
        <v>822161.91780821921</v>
      </c>
      <c r="Q17" s="24">
        <f t="shared" ref="Q17:U17" si="14">0.9*$E$42/$E$45*Q26</f>
        <v>820690.443190975</v>
      </c>
      <c r="R17" s="24">
        <f t="shared" si="14"/>
        <v>820690.443190975</v>
      </c>
      <c r="S17" s="24">
        <f t="shared" si="14"/>
        <v>822063.8195004029</v>
      </c>
      <c r="T17" s="24">
        <f t="shared" si="14"/>
        <v>822260.01611603552</v>
      </c>
      <c r="U17" s="24">
        <f t="shared" si="14"/>
        <v>821279.03303787275</v>
      </c>
    </row>
    <row r="18" spans="1:21" x14ac:dyDescent="0.35">
      <c r="A18" s="5" t="s">
        <v>4</v>
      </c>
      <c r="B18" s="2">
        <v>0.92200000000000004</v>
      </c>
      <c r="C18" s="2">
        <f t="shared" ref="C18:U18" si="15">SUM(C16:C17)/SUM(B16:B17)-1</f>
        <v>0</v>
      </c>
      <c r="D18" s="2">
        <f t="shared" si="15"/>
        <v>2.9999918345350096E-2</v>
      </c>
      <c r="E18" s="37">
        <f t="shared" si="15"/>
        <v>-0.18173512180813534</v>
      </c>
      <c r="F18" s="2">
        <f t="shared" si="15"/>
        <v>-0.58824512494338377</v>
      </c>
      <c r="G18" s="2">
        <f t="shared" si="15"/>
        <v>4.8516301843864058</v>
      </c>
      <c r="H18" s="2">
        <f t="shared" si="15"/>
        <v>2.4014611300817723E-3</v>
      </c>
      <c r="I18" s="2">
        <f t="shared" si="15"/>
        <v>6.6951821618783658E-3</v>
      </c>
      <c r="J18" s="2">
        <f t="shared" si="15"/>
        <v>3.3989935730662779E-3</v>
      </c>
      <c r="K18" s="2">
        <f t="shared" si="15"/>
        <v>2.4527988965838965E-4</v>
      </c>
      <c r="L18" s="2">
        <f t="shared" si="15"/>
        <v>7.7894331976247067E-4</v>
      </c>
      <c r="M18" s="2">
        <f t="shared" si="15"/>
        <v>-9.7292129915715897E-5</v>
      </c>
      <c r="N18" s="2">
        <f t="shared" si="15"/>
        <v>-9.7301596595233963E-4</v>
      </c>
      <c r="O18" s="2">
        <f t="shared" si="15"/>
        <v>5.8437818887924209E-4</v>
      </c>
      <c r="P18" s="2">
        <f t="shared" si="15"/>
        <v>2.0441291166066744E-3</v>
      </c>
      <c r="Q18" s="2">
        <f t="shared" si="15"/>
        <v>0.40348804354300505</v>
      </c>
      <c r="R18" s="2">
        <f t="shared" si="15"/>
        <v>0</v>
      </c>
      <c r="S18" s="2">
        <f t="shared" si="15"/>
        <v>9.6899491997448628E-4</v>
      </c>
      <c r="T18" s="2">
        <f t="shared" si="15"/>
        <v>1.3829383968255726E-4</v>
      </c>
      <c r="U18" s="2">
        <f t="shared" si="15"/>
        <v>-6.9137358570481311E-4</v>
      </c>
    </row>
    <row r="19" spans="1:21" ht="15" thickBot="1" x14ac:dyDescent="0.4">
      <c r="A19" s="19" t="s">
        <v>7</v>
      </c>
      <c r="B19" s="23">
        <f t="shared" ref="B19:D19" si="16">B10+B13+B16</f>
        <v>1781925</v>
      </c>
      <c r="C19" s="23">
        <f t="shared" si="16"/>
        <v>1858772</v>
      </c>
      <c r="D19" s="23">
        <f t="shared" si="16"/>
        <v>1789112</v>
      </c>
      <c r="E19" s="39">
        <f t="shared" ref="E19:F19" si="17">E10+E13+E16+E17</f>
        <v>1705658</v>
      </c>
      <c r="F19" s="23">
        <f t="shared" si="17"/>
        <v>1487753</v>
      </c>
      <c r="G19" s="23">
        <f>G10+G13+G16+G17</f>
        <v>2357292.1313456888</v>
      </c>
      <c r="H19" s="23">
        <f t="shared" ref="H19:U19" si="18">H10+H13+H16+H17</f>
        <v>2374938.0499597099</v>
      </c>
      <c r="I19" s="23">
        <f t="shared" si="18"/>
        <v>2426652.2583098309</v>
      </c>
      <c r="J19" s="23">
        <f t="shared" si="18"/>
        <v>2445990.3116941983</v>
      </c>
      <c r="K19" s="23">
        <f t="shared" si="18"/>
        <v>2491552.3709206283</v>
      </c>
      <c r="L19" s="23">
        <f t="shared" si="18"/>
        <v>2492337.1573831588</v>
      </c>
      <c r="M19" s="23">
        <f t="shared" si="18"/>
        <v>2492239.0590753425</v>
      </c>
      <c r="N19" s="23">
        <f t="shared" si="18"/>
        <v>2491258.0759971798</v>
      </c>
      <c r="O19" s="23">
        <f t="shared" si="18"/>
        <v>2491846.6658440772</v>
      </c>
      <c r="P19" s="23">
        <f t="shared" si="18"/>
        <v>2493906.7303082193</v>
      </c>
      <c r="Q19" s="23">
        <f t="shared" si="18"/>
        <v>2901371.4431909751</v>
      </c>
      <c r="R19" s="23">
        <f t="shared" si="18"/>
        <v>2901371.4431909751</v>
      </c>
      <c r="S19" s="23">
        <f t="shared" si="18"/>
        <v>2902744.819500403</v>
      </c>
      <c r="T19" s="23">
        <f t="shared" si="18"/>
        <v>2902941.0161160356</v>
      </c>
      <c r="U19" s="23">
        <f t="shared" si="18"/>
        <v>2901960.033037873</v>
      </c>
    </row>
    <row r="20" spans="1:21" ht="15" thickTop="1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21" x14ac:dyDescent="0.35">
      <c r="A21" s="20" t="s">
        <v>11</v>
      </c>
      <c r="B21" s="12"/>
      <c r="C21" s="12"/>
      <c r="D21" s="12"/>
      <c r="E21" s="38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x14ac:dyDescent="0.35">
      <c r="A22" t="s">
        <v>12</v>
      </c>
      <c r="B22" s="24">
        <v>0</v>
      </c>
      <c r="C22" s="24">
        <v>0</v>
      </c>
      <c r="D22" s="24">
        <v>0</v>
      </c>
      <c r="E22" s="3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ref="Q22:U22" si="19">P22*(1+Q23)</f>
        <v>0</v>
      </c>
      <c r="R22" s="24">
        <f t="shared" si="19"/>
        <v>0</v>
      </c>
      <c r="S22" s="24">
        <f t="shared" si="19"/>
        <v>0</v>
      </c>
      <c r="T22" s="24">
        <f t="shared" si="19"/>
        <v>0</v>
      </c>
      <c r="U22" s="24">
        <f t="shared" si="19"/>
        <v>0</v>
      </c>
    </row>
    <row r="23" spans="1:21" x14ac:dyDescent="0.35">
      <c r="A23" s="4" t="s">
        <v>13</v>
      </c>
      <c r="B23" s="7">
        <v>0</v>
      </c>
      <c r="C23" s="7">
        <v>0</v>
      </c>
      <c r="D23" s="7">
        <v>0</v>
      </c>
      <c r="E23" s="40">
        <v>0</v>
      </c>
      <c r="F23" s="7">
        <v>0</v>
      </c>
      <c r="G23" s="7">
        <v>0.03</v>
      </c>
      <c r="H23" s="7">
        <v>0.03</v>
      </c>
      <c r="I23" s="7">
        <v>0.03</v>
      </c>
      <c r="J23" s="7">
        <v>0.03</v>
      </c>
      <c r="K23" s="7">
        <v>0.03</v>
      </c>
      <c r="L23" s="7">
        <v>0.03</v>
      </c>
      <c r="M23" s="7">
        <v>0.03</v>
      </c>
      <c r="N23" s="7">
        <v>0.03</v>
      </c>
      <c r="O23" s="7">
        <v>0.03</v>
      </c>
      <c r="P23" s="7">
        <v>0.03</v>
      </c>
      <c r="Q23" s="7">
        <v>0.03</v>
      </c>
      <c r="R23" s="7">
        <v>0.03</v>
      </c>
      <c r="S23" s="7">
        <v>0.03</v>
      </c>
      <c r="T23" s="7">
        <v>0.03</v>
      </c>
      <c r="U23" s="7">
        <v>0.03</v>
      </c>
    </row>
    <row r="24" spans="1:21" x14ac:dyDescent="0.35">
      <c r="A24" s="12" t="s">
        <v>17</v>
      </c>
      <c r="B24" s="12"/>
      <c r="C24" s="12"/>
      <c r="D24" s="12"/>
      <c r="E24" s="3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x14ac:dyDescent="0.35">
      <c r="A25" s="4" t="s">
        <v>18</v>
      </c>
      <c r="B25" s="22">
        <v>911646.02</v>
      </c>
      <c r="C25" s="22">
        <v>912590</v>
      </c>
      <c r="D25" s="22">
        <v>909835</v>
      </c>
      <c r="E25" s="34">
        <v>910070</v>
      </c>
      <c r="F25" s="22">
        <v>908010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x14ac:dyDescent="0.35">
      <c r="A26" s="4" t="s">
        <v>19</v>
      </c>
      <c r="B26" s="24">
        <v>0</v>
      </c>
      <c r="C26" s="24">
        <v>0</v>
      </c>
      <c r="D26" s="24">
        <v>0</v>
      </c>
      <c r="E26" s="34">
        <v>0</v>
      </c>
      <c r="F26" s="24">
        <v>0</v>
      </c>
      <c r="G26" s="24">
        <v>1674600</v>
      </c>
      <c r="H26" s="24">
        <v>1672400</v>
      </c>
      <c r="I26" s="24">
        <v>1678800</v>
      </c>
      <c r="J26" s="24">
        <v>1678400</v>
      </c>
      <c r="K26" s="24">
        <v>1671400</v>
      </c>
      <c r="L26" s="24">
        <v>1673000</v>
      </c>
      <c r="M26" s="24">
        <v>1672800</v>
      </c>
      <c r="N26" s="24">
        <v>1670800</v>
      </c>
      <c r="O26" s="24">
        <v>1672000</v>
      </c>
      <c r="P26" s="24">
        <v>1676200</v>
      </c>
      <c r="Q26" s="24">
        <v>1673200</v>
      </c>
      <c r="R26" s="24">
        <v>1673200</v>
      </c>
      <c r="S26" s="24">
        <v>1676000</v>
      </c>
      <c r="T26" s="24">
        <v>1676400</v>
      </c>
      <c r="U26" s="24">
        <v>1674400</v>
      </c>
    </row>
    <row r="27" spans="1:21" x14ac:dyDescent="0.35">
      <c r="A27" s="4" t="s">
        <v>36</v>
      </c>
      <c r="B27" s="24"/>
      <c r="C27" s="24"/>
      <c r="D27" s="24"/>
      <c r="E27" s="3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f>F33*-1</f>
        <v>-1678800</v>
      </c>
    </row>
    <row r="28" spans="1:21" x14ac:dyDescent="0.35">
      <c r="A28" s="49" t="s">
        <v>35</v>
      </c>
      <c r="B28" s="25">
        <f t="shared" ref="B28:D28" si="20">SUM(B25:B26)</f>
        <v>911646.02</v>
      </c>
      <c r="C28" s="25">
        <f t="shared" si="20"/>
        <v>912590</v>
      </c>
      <c r="D28" s="25">
        <f t="shared" si="20"/>
        <v>909835</v>
      </c>
      <c r="E28" s="33">
        <f t="shared" ref="E28:U28" si="21">SUM(E25:E27)</f>
        <v>910070</v>
      </c>
      <c r="F28" s="25">
        <f t="shared" si="21"/>
        <v>908010</v>
      </c>
      <c r="G28" s="25">
        <f t="shared" si="21"/>
        <v>1674600</v>
      </c>
      <c r="H28" s="25">
        <f t="shared" si="21"/>
        <v>1672400</v>
      </c>
      <c r="I28" s="25">
        <f t="shared" si="21"/>
        <v>1678800</v>
      </c>
      <c r="J28" s="25">
        <f t="shared" si="21"/>
        <v>1678400</v>
      </c>
      <c r="K28" s="25">
        <f t="shared" si="21"/>
        <v>1671400</v>
      </c>
      <c r="L28" s="25">
        <f t="shared" si="21"/>
        <v>1673000</v>
      </c>
      <c r="M28" s="25">
        <f t="shared" si="21"/>
        <v>1672800</v>
      </c>
      <c r="N28" s="25">
        <f t="shared" si="21"/>
        <v>1670800</v>
      </c>
      <c r="O28" s="25">
        <f t="shared" si="21"/>
        <v>1672000</v>
      </c>
      <c r="P28" s="25">
        <f t="shared" si="21"/>
        <v>1676200</v>
      </c>
      <c r="Q28" s="25">
        <f t="shared" si="21"/>
        <v>1673200</v>
      </c>
      <c r="R28" s="25">
        <f t="shared" si="21"/>
        <v>1673200</v>
      </c>
      <c r="S28" s="25">
        <f t="shared" si="21"/>
        <v>1676000</v>
      </c>
      <c r="T28" s="25">
        <f t="shared" si="21"/>
        <v>1676400</v>
      </c>
      <c r="U28" s="25">
        <f t="shared" si="21"/>
        <v>-4400</v>
      </c>
    </row>
    <row r="29" spans="1:21" ht="15" thickBot="1" x14ac:dyDescent="0.4">
      <c r="A29" s="18" t="s">
        <v>20</v>
      </c>
      <c r="B29" s="26">
        <f t="shared" ref="B29:U29" si="22">SUM(B28,B22)</f>
        <v>911646.02</v>
      </c>
      <c r="C29" s="26">
        <f t="shared" si="22"/>
        <v>912590</v>
      </c>
      <c r="D29" s="26">
        <f t="shared" si="22"/>
        <v>909835</v>
      </c>
      <c r="E29" s="31">
        <f t="shared" si="22"/>
        <v>910070</v>
      </c>
      <c r="F29" s="26">
        <f t="shared" si="22"/>
        <v>908010</v>
      </c>
      <c r="G29" s="26">
        <f t="shared" si="22"/>
        <v>1674600</v>
      </c>
      <c r="H29" s="26">
        <f t="shared" si="22"/>
        <v>1672400</v>
      </c>
      <c r="I29" s="26">
        <f t="shared" si="22"/>
        <v>1678800</v>
      </c>
      <c r="J29" s="26">
        <f t="shared" si="22"/>
        <v>1678400</v>
      </c>
      <c r="K29" s="26">
        <f t="shared" si="22"/>
        <v>1671400</v>
      </c>
      <c r="L29" s="26">
        <f t="shared" si="22"/>
        <v>1673000</v>
      </c>
      <c r="M29" s="26">
        <f t="shared" si="22"/>
        <v>1672800</v>
      </c>
      <c r="N29" s="26">
        <f t="shared" si="22"/>
        <v>1670800</v>
      </c>
      <c r="O29" s="26">
        <f t="shared" si="22"/>
        <v>1672000</v>
      </c>
      <c r="P29" s="26">
        <f t="shared" si="22"/>
        <v>1676200</v>
      </c>
      <c r="Q29" s="26">
        <f t="shared" si="22"/>
        <v>1673200</v>
      </c>
      <c r="R29" s="26">
        <f t="shared" si="22"/>
        <v>1673200</v>
      </c>
      <c r="S29" s="26">
        <f t="shared" si="22"/>
        <v>1676000</v>
      </c>
      <c r="T29" s="26">
        <f t="shared" si="22"/>
        <v>1676400</v>
      </c>
      <c r="U29" s="26">
        <f t="shared" si="22"/>
        <v>-4400</v>
      </c>
    </row>
    <row r="30" spans="1:21" ht="15" thickTop="1" x14ac:dyDescent="0.3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21"/>
      <c r="R30" s="21"/>
      <c r="S30" s="21"/>
      <c r="T30" s="21"/>
      <c r="U30" s="21"/>
    </row>
    <row r="31" spans="1:21" x14ac:dyDescent="0.35">
      <c r="A31" s="20" t="s">
        <v>28</v>
      </c>
      <c r="B31" s="12"/>
      <c r="C31" s="12"/>
      <c r="D31" s="12"/>
      <c r="E31" s="3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21"/>
      <c r="R31" s="21"/>
      <c r="S31" s="21"/>
      <c r="T31" s="21"/>
      <c r="U31" s="21"/>
    </row>
    <row r="32" spans="1:21" x14ac:dyDescent="0.35">
      <c r="A32" s="44" t="s">
        <v>22</v>
      </c>
      <c r="B32" s="21">
        <f>1839457-B19-200</f>
        <v>57332</v>
      </c>
      <c r="C32" s="21">
        <v>0</v>
      </c>
      <c r="D32" s="21">
        <v>0</v>
      </c>
      <c r="E32" s="4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</row>
    <row r="33" spans="1:21" x14ac:dyDescent="0.35">
      <c r="A33" s="45" t="s">
        <v>23</v>
      </c>
      <c r="B33" s="21">
        <v>0</v>
      </c>
      <c r="C33" s="21">
        <v>63742.979999999981</v>
      </c>
      <c r="D33" s="21">
        <v>1082464.98</v>
      </c>
      <c r="E33" s="41">
        <v>802450.02</v>
      </c>
      <c r="F33" s="21">
        <v>1678800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</row>
    <row r="34" spans="1:21" x14ac:dyDescent="0.35">
      <c r="A34" s="12" t="s">
        <v>16</v>
      </c>
      <c r="B34" s="25">
        <f>B19-B29+B32</f>
        <v>927610.98</v>
      </c>
      <c r="C34" s="25">
        <f>C19-C29+C32-C33</f>
        <v>882439.02</v>
      </c>
      <c r="D34" s="25">
        <f>D19-D29+D32-D33</f>
        <v>-203187.97999999998</v>
      </c>
      <c r="E34" s="33">
        <f>E19-E29+E32-E33</f>
        <v>-6862.0200000000186</v>
      </c>
      <c r="F34" s="25">
        <f t="shared" ref="F34:P34" si="23">F19-F29+F32-F33</f>
        <v>-1099057</v>
      </c>
      <c r="G34" s="25">
        <f t="shared" si="23"/>
        <v>682692.13134568883</v>
      </c>
      <c r="H34" s="25">
        <f t="shared" si="23"/>
        <v>702538.04995970987</v>
      </c>
      <c r="I34" s="25">
        <f t="shared" si="23"/>
        <v>747852.25830983091</v>
      </c>
      <c r="J34" s="25">
        <f t="shared" si="23"/>
        <v>767590.31169419829</v>
      </c>
      <c r="K34" s="25">
        <f t="shared" si="23"/>
        <v>820152.37092062831</v>
      </c>
      <c r="L34" s="25">
        <f t="shared" si="23"/>
        <v>819337.1573831588</v>
      </c>
      <c r="M34" s="25">
        <f t="shared" si="23"/>
        <v>819439.05907534249</v>
      </c>
      <c r="N34" s="25">
        <f t="shared" si="23"/>
        <v>820458.07599717984</v>
      </c>
      <c r="O34" s="25">
        <f t="shared" si="23"/>
        <v>819846.66584407724</v>
      </c>
      <c r="P34" s="25">
        <f t="shared" si="23"/>
        <v>817706.73030821932</v>
      </c>
      <c r="Q34" s="25">
        <f>Q19-Q29+Q32</f>
        <v>1228171.4431909751</v>
      </c>
      <c r="R34" s="25">
        <f>R19-R29+R32</f>
        <v>1228171.4431909751</v>
      </c>
      <c r="S34" s="25">
        <f>S19-S29+S32</f>
        <v>1226744.819500403</v>
      </c>
      <c r="T34" s="25">
        <f>T19-T29+T32</f>
        <v>1226541.0161160356</v>
      </c>
      <c r="U34" s="25">
        <f>U19-U29+U32</f>
        <v>2906360.033037873</v>
      </c>
    </row>
    <row r="35" spans="1:21" ht="15" thickBot="1" x14ac:dyDescent="0.4">
      <c r="A35" s="17" t="s">
        <v>15</v>
      </c>
      <c r="B35" s="23">
        <f t="shared" ref="B35:U35" si="24">B34+B3</f>
        <v>927610.98</v>
      </c>
      <c r="C35" s="23">
        <f t="shared" si="24"/>
        <v>1810050</v>
      </c>
      <c r="D35" s="23">
        <f t="shared" si="24"/>
        <v>1606862.02</v>
      </c>
      <c r="E35" s="39">
        <f t="shared" si="24"/>
        <v>1600000</v>
      </c>
      <c r="F35" s="23">
        <f t="shared" si="24"/>
        <v>500943</v>
      </c>
      <c r="G35" s="23">
        <f t="shared" si="24"/>
        <v>1183635.1313456888</v>
      </c>
      <c r="H35" s="23">
        <f t="shared" si="24"/>
        <v>1886173.1813053987</v>
      </c>
      <c r="I35" s="23">
        <f t="shared" si="24"/>
        <v>2634025.4396152296</v>
      </c>
      <c r="J35" s="23">
        <f t="shared" si="24"/>
        <v>3401615.7513094279</v>
      </c>
      <c r="K35" s="23">
        <f t="shared" si="24"/>
        <v>4221768.1222300567</v>
      </c>
      <c r="L35" s="23">
        <f t="shared" si="24"/>
        <v>5041105.2796132155</v>
      </c>
      <c r="M35" s="23">
        <f t="shared" si="24"/>
        <v>5860544.338688558</v>
      </c>
      <c r="N35" s="23">
        <f t="shared" si="24"/>
        <v>6681002.4146857373</v>
      </c>
      <c r="O35" s="23">
        <f t="shared" si="24"/>
        <v>7500849.0805298146</v>
      </c>
      <c r="P35" s="23">
        <f t="shared" si="24"/>
        <v>8318555.8108380344</v>
      </c>
      <c r="Q35" s="23">
        <f t="shared" si="24"/>
        <v>9546727.2540290095</v>
      </c>
      <c r="R35" s="23">
        <f t="shared" si="24"/>
        <v>10774898.697219985</v>
      </c>
      <c r="S35" s="23">
        <f t="shared" si="24"/>
        <v>12001643.516720388</v>
      </c>
      <c r="T35" s="23">
        <f t="shared" si="24"/>
        <v>13228184.532836424</v>
      </c>
      <c r="U35" s="23">
        <f t="shared" si="24"/>
        <v>16134544.565874297</v>
      </c>
    </row>
    <row r="36" spans="1:21" ht="15" thickTop="1" x14ac:dyDescent="0.3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21" x14ac:dyDescent="0.35">
      <c r="A37" s="20" t="s">
        <v>24</v>
      </c>
      <c r="B37" s="29">
        <f t="shared" ref="B37:U37" si="25">B19/B28</f>
        <v>1.9546237913702513</v>
      </c>
      <c r="C37" s="29">
        <f t="shared" si="25"/>
        <v>2.0368095201569161</v>
      </c>
      <c r="D37" s="29">
        <f t="shared" si="25"/>
        <v>1.9664136903944123</v>
      </c>
      <c r="E37" s="42">
        <f t="shared" si="25"/>
        <v>1.8742052809124572</v>
      </c>
      <c r="F37" s="29">
        <f t="shared" si="25"/>
        <v>1.6384764484972631</v>
      </c>
      <c r="G37" s="29">
        <f t="shared" si="25"/>
        <v>1.407674747011638</v>
      </c>
      <c r="H37" s="29">
        <f t="shared" si="25"/>
        <v>1.4200777624729191</v>
      </c>
      <c r="I37" s="29">
        <f t="shared" si="25"/>
        <v>1.4454683454311597</v>
      </c>
      <c r="J37" s="29">
        <f t="shared" si="25"/>
        <v>1.4573345517720437</v>
      </c>
      <c r="K37" s="29">
        <f t="shared" si="25"/>
        <v>1.4906978406848321</v>
      </c>
      <c r="L37" s="29">
        <f t="shared" si="25"/>
        <v>1.4897412775751098</v>
      </c>
      <c r="M37" s="29">
        <f t="shared" si="25"/>
        <v>1.4898607478929593</v>
      </c>
      <c r="N37" s="29">
        <f t="shared" si="25"/>
        <v>1.4910570241783456</v>
      </c>
      <c r="O37" s="29">
        <f t="shared" si="25"/>
        <v>1.4903389149785151</v>
      </c>
      <c r="P37" s="29">
        <f t="shared" si="25"/>
        <v>1.4878336298223478</v>
      </c>
      <c r="Q37" s="29">
        <f>Q19/Q28</f>
        <v>1.7340254860094282</v>
      </c>
      <c r="R37" s="29">
        <f t="shared" si="25"/>
        <v>1.7340254860094282</v>
      </c>
      <c r="S37" s="29">
        <f t="shared" si="25"/>
        <v>1.7319479829954672</v>
      </c>
      <c r="T37" s="29">
        <f t="shared" si="25"/>
        <v>1.7316517633715316</v>
      </c>
      <c r="U37" s="29">
        <f t="shared" si="25"/>
        <v>-659.5363711449711</v>
      </c>
    </row>
    <row r="38" spans="1:21" x14ac:dyDescent="0.35">
      <c r="A38" s="20" t="s">
        <v>25</v>
      </c>
      <c r="B38" s="29">
        <f t="shared" ref="B38:U38" si="26">(B19-B22)/B28</f>
        <v>1.9546237913702513</v>
      </c>
      <c r="C38" s="29">
        <f t="shared" si="26"/>
        <v>2.0368095201569161</v>
      </c>
      <c r="D38" s="29">
        <f t="shared" si="26"/>
        <v>1.9664136903944123</v>
      </c>
      <c r="E38" s="42">
        <f t="shared" si="26"/>
        <v>1.8742052809124572</v>
      </c>
      <c r="F38" s="29">
        <f t="shared" si="26"/>
        <v>1.6384764484972631</v>
      </c>
      <c r="G38" s="29">
        <f t="shared" si="26"/>
        <v>1.407674747011638</v>
      </c>
      <c r="H38" s="29">
        <f t="shared" si="26"/>
        <v>1.4200777624729191</v>
      </c>
      <c r="I38" s="29">
        <f t="shared" si="26"/>
        <v>1.4454683454311597</v>
      </c>
      <c r="J38" s="29">
        <f t="shared" si="26"/>
        <v>1.4573345517720437</v>
      </c>
      <c r="K38" s="29">
        <f t="shared" si="26"/>
        <v>1.4906978406848321</v>
      </c>
      <c r="L38" s="29">
        <f t="shared" si="26"/>
        <v>1.4897412775751098</v>
      </c>
      <c r="M38" s="29">
        <f t="shared" si="26"/>
        <v>1.4898607478929593</v>
      </c>
      <c r="N38" s="29">
        <f t="shared" si="26"/>
        <v>1.4910570241783456</v>
      </c>
      <c r="O38" s="29">
        <f t="shared" si="26"/>
        <v>1.4903389149785151</v>
      </c>
      <c r="P38" s="29">
        <f t="shared" si="26"/>
        <v>1.4878336298223478</v>
      </c>
      <c r="Q38" s="29">
        <f t="shared" si="26"/>
        <v>1.7340254860094282</v>
      </c>
      <c r="R38" s="29">
        <f t="shared" si="26"/>
        <v>1.7340254860094282</v>
      </c>
      <c r="S38" s="29">
        <f t="shared" si="26"/>
        <v>1.7319479829954672</v>
      </c>
      <c r="T38" s="29">
        <f t="shared" si="26"/>
        <v>1.7316517633715316</v>
      </c>
      <c r="U38" s="29">
        <f t="shared" si="26"/>
        <v>-659.5363711449711</v>
      </c>
    </row>
    <row r="41" spans="1:21" x14ac:dyDescent="0.35">
      <c r="A41" t="s">
        <v>31</v>
      </c>
    </row>
    <row r="42" spans="1:21" x14ac:dyDescent="0.35">
      <c r="A42" t="s">
        <v>32</v>
      </c>
      <c r="E42" s="1">
        <v>10145000</v>
      </c>
    </row>
    <row r="43" spans="1:21" x14ac:dyDescent="0.35">
      <c r="A43" t="s">
        <v>33</v>
      </c>
      <c r="E43" s="1">
        <v>4055000</v>
      </c>
    </row>
    <row r="44" spans="1:21" x14ac:dyDescent="0.35">
      <c r="A44" t="s">
        <v>34</v>
      </c>
      <c r="E44" s="1">
        <v>4415000</v>
      </c>
    </row>
    <row r="45" spans="1:21" x14ac:dyDescent="0.35">
      <c r="E45" s="1">
        <f>SUM(E42:E44)</f>
        <v>18615000</v>
      </c>
    </row>
  </sheetData>
  <mergeCells count="1">
    <mergeCell ref="F1:P1"/>
  </mergeCells>
  <pageMargins left="0.25" right="0.25" top="0.89375000000000004" bottom="0.75" header="0.3" footer="0.3"/>
  <pageSetup scale="74" fitToHeight="0" orientation="landscape" r:id="rId1"/>
  <headerFooter>
    <oddHeader>&amp;LCity of Grand Junction Downtown Development Authority
Tax Increment Debt Service Fund Projection
Scenario I (Refinance Series 2012 Bonds and Combine)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zoomScale="85" zoomScaleNormal="85" workbookViewId="0">
      <selection activeCell="G10" sqref="G10"/>
    </sheetView>
  </sheetViews>
  <sheetFormatPr defaultRowHeight="14.5" x14ac:dyDescent="0.35"/>
  <cols>
    <col min="1" max="1" width="36.453125" bestFit="1" customWidth="1"/>
    <col min="2" max="3" width="12.453125" customWidth="1"/>
    <col min="4" max="4" width="13.453125" customWidth="1"/>
    <col min="5" max="6" width="12.453125" bestFit="1" customWidth="1"/>
    <col min="7" max="7" width="12.453125" customWidth="1"/>
    <col min="8" max="16" width="12.453125" bestFit="1" customWidth="1"/>
    <col min="17" max="21" width="12.453125" customWidth="1"/>
  </cols>
  <sheetData>
    <row r="1" spans="1:22" x14ac:dyDescent="0.35">
      <c r="E1" s="30" t="s">
        <v>37</v>
      </c>
      <c r="F1" s="123" t="s">
        <v>27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22" x14ac:dyDescent="0.35">
      <c r="A2" s="46" t="s">
        <v>0</v>
      </c>
      <c r="B2" s="47">
        <v>2013</v>
      </c>
      <c r="C2" s="47">
        <f t="shared" ref="C2:U2" si="0">B2+1</f>
        <v>2014</v>
      </c>
      <c r="D2" s="47">
        <f t="shared" si="0"/>
        <v>2015</v>
      </c>
      <c r="E2" s="48">
        <f t="shared" si="0"/>
        <v>2016</v>
      </c>
      <c r="F2" s="47">
        <f t="shared" si="0"/>
        <v>2017</v>
      </c>
      <c r="G2" s="47">
        <f t="shared" si="0"/>
        <v>2018</v>
      </c>
      <c r="H2" s="47">
        <f t="shared" si="0"/>
        <v>2019</v>
      </c>
      <c r="I2" s="47">
        <f t="shared" si="0"/>
        <v>2020</v>
      </c>
      <c r="J2" s="47">
        <f t="shared" si="0"/>
        <v>2021</v>
      </c>
      <c r="K2" s="47">
        <f t="shared" si="0"/>
        <v>2022</v>
      </c>
      <c r="L2" s="47">
        <f t="shared" si="0"/>
        <v>2023</v>
      </c>
      <c r="M2" s="47">
        <f t="shared" si="0"/>
        <v>2024</v>
      </c>
      <c r="N2" s="47">
        <f t="shared" si="0"/>
        <v>2025</v>
      </c>
      <c r="O2" s="47">
        <f t="shared" si="0"/>
        <v>2026</v>
      </c>
      <c r="P2" s="47">
        <f t="shared" si="0"/>
        <v>2027</v>
      </c>
      <c r="Q2" s="47">
        <f t="shared" si="0"/>
        <v>2028</v>
      </c>
      <c r="R2" s="47">
        <f t="shared" si="0"/>
        <v>2029</v>
      </c>
      <c r="S2" s="47">
        <f t="shared" si="0"/>
        <v>2030</v>
      </c>
      <c r="T2" s="47">
        <f t="shared" si="0"/>
        <v>2031</v>
      </c>
      <c r="U2" s="47">
        <f t="shared" si="0"/>
        <v>2032</v>
      </c>
    </row>
    <row r="3" spans="1:22" x14ac:dyDescent="0.35">
      <c r="A3" s="16" t="s">
        <v>14</v>
      </c>
      <c r="B3" s="26">
        <v>0</v>
      </c>
      <c r="C3" s="26">
        <f t="shared" ref="C3:U3" si="1">B37</f>
        <v>927610.98</v>
      </c>
      <c r="D3" s="26">
        <f t="shared" si="1"/>
        <v>1810050</v>
      </c>
      <c r="E3" s="31">
        <f t="shared" si="1"/>
        <v>1606862.02</v>
      </c>
      <c r="F3" s="26">
        <f t="shared" si="1"/>
        <v>1600000</v>
      </c>
      <c r="G3" s="26">
        <f t="shared" si="1"/>
        <v>1061526</v>
      </c>
      <c r="H3" s="26">
        <f t="shared" si="1"/>
        <v>1284150.74</v>
      </c>
      <c r="I3" s="26">
        <f t="shared" si="1"/>
        <v>1524717.4121999999</v>
      </c>
      <c r="J3" s="26">
        <f t="shared" si="1"/>
        <v>1844473.384566</v>
      </c>
      <c r="K3" s="26">
        <f t="shared" si="1"/>
        <v>2184961.6433029799</v>
      </c>
      <c r="L3" s="26">
        <f t="shared" si="1"/>
        <v>2604090.2483460694</v>
      </c>
      <c r="M3" s="26">
        <f t="shared" si="1"/>
        <v>3148023.8022553315</v>
      </c>
      <c r="N3" s="26">
        <f t="shared" si="1"/>
        <v>3823067.9329110491</v>
      </c>
      <c r="O3" s="26">
        <f t="shared" si="1"/>
        <v>4571798.7904182002</v>
      </c>
      <c r="P3" s="26">
        <f t="shared" si="1"/>
        <v>5292888.5586409615</v>
      </c>
      <c r="Q3" s="26">
        <f t="shared" si="1"/>
        <v>6090426.9818006102</v>
      </c>
      <c r="R3" s="26">
        <f t="shared" si="1"/>
        <v>6864528.9065830559</v>
      </c>
      <c r="S3" s="26">
        <f t="shared" si="1"/>
        <v>7667522.8402155442</v>
      </c>
      <c r="T3" s="26">
        <f t="shared" si="1"/>
        <v>8211934.5249857064</v>
      </c>
      <c r="U3" s="26">
        <f t="shared" si="1"/>
        <v>8690396.529690247</v>
      </c>
    </row>
    <row r="4" spans="1:22" x14ac:dyDescent="0.35">
      <c r="A4" s="14" t="s">
        <v>21</v>
      </c>
      <c r="B4" s="27"/>
      <c r="C4" s="27"/>
      <c r="D4" s="27"/>
      <c r="E4" s="32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x14ac:dyDescent="0.35">
      <c r="A5" s="15" t="s">
        <v>5</v>
      </c>
      <c r="B5" s="25"/>
      <c r="C5" s="25"/>
      <c r="D5" s="25"/>
      <c r="E5" s="33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2" x14ac:dyDescent="0.35">
      <c r="A6" s="44" t="s">
        <v>63</v>
      </c>
      <c r="B6" s="24">
        <v>62636290</v>
      </c>
      <c r="C6" s="24">
        <v>62864320</v>
      </c>
      <c r="D6" s="24">
        <v>61506500</v>
      </c>
      <c r="E6" s="34">
        <v>60171710</v>
      </c>
      <c r="F6" s="24">
        <v>59745260</v>
      </c>
      <c r="G6" s="24">
        <f>F6*(1+G7)+G10</f>
        <v>61540165.200000003</v>
      </c>
      <c r="H6" s="24">
        <f t="shared" ref="H6:U6" si="2">G6*(1+H7)+H10</f>
        <v>61540165.200000003</v>
      </c>
      <c r="I6" s="24">
        <f t="shared" si="2"/>
        <v>63370968.504000001</v>
      </c>
      <c r="J6" s="24">
        <f t="shared" si="2"/>
        <v>63370968.504000001</v>
      </c>
      <c r="K6" s="24">
        <f t="shared" si="2"/>
        <v>65238387.874080002</v>
      </c>
      <c r="L6" s="24">
        <f t="shared" si="2"/>
        <v>65238387.874080002</v>
      </c>
      <c r="M6" s="24">
        <f t="shared" si="2"/>
        <v>67143155.631561607</v>
      </c>
      <c r="N6" s="24">
        <f t="shared" si="2"/>
        <v>67143155.631561607</v>
      </c>
      <c r="O6" s="24">
        <f t="shared" si="2"/>
        <v>69086018.744192839</v>
      </c>
      <c r="P6" s="24">
        <f t="shared" si="2"/>
        <v>69086018.744192839</v>
      </c>
      <c r="Q6" s="24">
        <f t="shared" si="2"/>
        <v>71067739.119076699</v>
      </c>
      <c r="R6" s="24">
        <f t="shared" si="2"/>
        <v>71067739.119076699</v>
      </c>
      <c r="S6" s="24">
        <f t="shared" si="2"/>
        <v>73089093.901458234</v>
      </c>
      <c r="T6" s="24">
        <f t="shared" si="2"/>
        <v>73089093.901458234</v>
      </c>
      <c r="U6" s="24">
        <f t="shared" si="2"/>
        <v>75150875.779487401</v>
      </c>
    </row>
    <row r="7" spans="1:22" x14ac:dyDescent="0.35">
      <c r="A7" s="44" t="s">
        <v>65</v>
      </c>
      <c r="B7" s="68"/>
      <c r="C7" s="68">
        <f>(C6-C10-B6)/B6</f>
        <v>-1.3774442898837081E-2</v>
      </c>
      <c r="D7" s="68">
        <f>(D6-D10-C6)/C6</f>
        <v>-2.1599215580475537E-2</v>
      </c>
      <c r="E7" s="69">
        <f>(E6-E10-D6)/D6</f>
        <v>-3.1424646175607453E-2</v>
      </c>
      <c r="F7" s="68">
        <f>(F6-F10-E6)/E6</f>
        <v>-7.0872175645332334E-3</v>
      </c>
      <c r="G7" s="68">
        <v>0.02</v>
      </c>
      <c r="H7" s="68">
        <v>0</v>
      </c>
      <c r="I7" s="68">
        <v>0.02</v>
      </c>
      <c r="J7" s="68">
        <v>0</v>
      </c>
      <c r="K7" s="68">
        <v>0.02</v>
      </c>
      <c r="L7" s="68">
        <v>0</v>
      </c>
      <c r="M7" s="68">
        <v>0.02</v>
      </c>
      <c r="N7" s="68">
        <v>0</v>
      </c>
      <c r="O7" s="68">
        <v>0.02</v>
      </c>
      <c r="P7" s="68">
        <v>0</v>
      </c>
      <c r="Q7" s="68">
        <v>0.02</v>
      </c>
      <c r="R7" s="68">
        <v>0</v>
      </c>
      <c r="S7" s="68">
        <v>0.02</v>
      </c>
      <c r="T7" s="68">
        <v>0</v>
      </c>
      <c r="U7" s="68">
        <v>0.02</v>
      </c>
      <c r="V7" s="67"/>
    </row>
    <row r="8" spans="1:22" x14ac:dyDescent="0.35">
      <c r="A8" s="44" t="s">
        <v>64</v>
      </c>
      <c r="B8" s="24">
        <f>B6-B9</f>
        <v>41891570</v>
      </c>
      <c r="C8" s="24">
        <f>C6-C9</f>
        <v>41314530</v>
      </c>
      <c r="D8" s="24">
        <f>D6-D9</f>
        <v>41249053</v>
      </c>
      <c r="E8" s="34">
        <f>E6-E11</f>
        <v>39952820</v>
      </c>
      <c r="F8" s="24">
        <f>F6-F11</f>
        <v>40089242</v>
      </c>
      <c r="G8" s="24">
        <f t="shared" ref="G8:K8" si="3">F8*(1+G7)</f>
        <v>40891026.840000004</v>
      </c>
      <c r="H8" s="24">
        <f t="shared" si="3"/>
        <v>40891026.840000004</v>
      </c>
      <c r="I8" s="24">
        <f t="shared" si="3"/>
        <v>41708847.376800001</v>
      </c>
      <c r="J8" s="24">
        <f t="shared" si="3"/>
        <v>41708847.376800001</v>
      </c>
      <c r="K8" s="24">
        <f t="shared" si="3"/>
        <v>42543024.324336</v>
      </c>
      <c r="L8" s="24">
        <f>'Assessed Value Projections'!L33</f>
        <v>40692253.7674172</v>
      </c>
      <c r="M8" s="24">
        <f>'Assessed Value Projections'!L34</f>
        <v>41262571.280857041</v>
      </c>
      <c r="N8" s="24">
        <f>'Assessed Value Projections'!L35</f>
        <v>39783792.456426181</v>
      </c>
      <c r="O8" s="24">
        <f>'Assessed Value Projections'!L36</f>
        <v>43278233.855213791</v>
      </c>
      <c r="P8" s="24">
        <f>'Assessed Value Projections'!L37</f>
        <v>41749057.708060376</v>
      </c>
      <c r="Q8" s="24">
        <f>'Assessed Value Projections'!L38</f>
        <v>45122506.113933429</v>
      </c>
      <c r="R8" s="24">
        <f>'Assessed Value Projections'!L39</f>
        <v>44530616.344009101</v>
      </c>
      <c r="S8" s="24">
        <f>'Assessed Value Projections'!L40</f>
        <v>52102295.440912314</v>
      </c>
      <c r="T8" s="24">
        <f>'Assessed Value Projections'!L41</f>
        <v>53198468.672458306</v>
      </c>
      <c r="U8" s="24">
        <f>'Assessed Value Projections'!L42</f>
        <v>58099917.310949668</v>
      </c>
    </row>
    <row r="9" spans="1:22" x14ac:dyDescent="0.35">
      <c r="A9" s="6" t="s">
        <v>29</v>
      </c>
      <c r="B9" s="24">
        <v>20744720</v>
      </c>
      <c r="C9" s="24">
        <v>21549790</v>
      </c>
      <c r="D9" s="24">
        <v>20257447</v>
      </c>
      <c r="E9" s="34">
        <f>10109445*2-E10</f>
        <v>19620860</v>
      </c>
      <c r="F9" s="24">
        <f>9828009*2</f>
        <v>19656018</v>
      </c>
      <c r="G9" s="24">
        <f>F11*(1+G7)</f>
        <v>20049138.359999999</v>
      </c>
      <c r="H9" s="24">
        <f t="shared" ref="H9:K9" si="4">G11*(1+H7)</f>
        <v>20649138.359999999</v>
      </c>
      <c r="I9" s="24">
        <f t="shared" si="4"/>
        <v>21062121.1272</v>
      </c>
      <c r="J9" s="24">
        <f t="shared" si="4"/>
        <v>21662121.1272</v>
      </c>
      <c r="K9" s="24">
        <f t="shared" si="4"/>
        <v>22095363.549743999</v>
      </c>
      <c r="L9" s="24">
        <f t="shared" ref="L9:U9" si="5">L6-L8</f>
        <v>24546134.106662802</v>
      </c>
      <c r="M9" s="24">
        <f t="shared" si="5"/>
        <v>25880584.350704566</v>
      </c>
      <c r="N9" s="24">
        <f t="shared" si="5"/>
        <v>27359363.175135426</v>
      </c>
      <c r="O9" s="24">
        <f t="shared" si="5"/>
        <v>25807784.888979048</v>
      </c>
      <c r="P9" s="24">
        <f t="shared" si="5"/>
        <v>27336961.036132462</v>
      </c>
      <c r="Q9" s="24">
        <f t="shared" si="5"/>
        <v>25945233.00514327</v>
      </c>
      <c r="R9" s="24">
        <f t="shared" si="5"/>
        <v>26537122.775067598</v>
      </c>
      <c r="S9" s="24">
        <f t="shared" si="5"/>
        <v>20986798.46054592</v>
      </c>
      <c r="T9" s="24">
        <f t="shared" si="5"/>
        <v>19890625.228999928</v>
      </c>
      <c r="U9" s="24">
        <f t="shared" si="5"/>
        <v>17050958.468537733</v>
      </c>
    </row>
    <row r="10" spans="1:22" x14ac:dyDescent="0.35">
      <c r="A10" s="8" t="s">
        <v>66</v>
      </c>
      <c r="B10" s="24">
        <v>0</v>
      </c>
      <c r="C10" s="24">
        <v>1090810</v>
      </c>
      <c r="D10" s="24">
        <v>0</v>
      </c>
      <c r="E10" s="34">
        <v>598030</v>
      </c>
      <c r="F10" s="24">
        <v>0</v>
      </c>
      <c r="G10" s="24">
        <v>600000</v>
      </c>
      <c r="H10" s="24">
        <v>0</v>
      </c>
      <c r="I10" s="24">
        <v>600000</v>
      </c>
      <c r="J10" s="24">
        <v>0</v>
      </c>
      <c r="K10" s="24">
        <v>600000</v>
      </c>
      <c r="L10" s="24">
        <v>0</v>
      </c>
      <c r="M10" s="24">
        <v>600000</v>
      </c>
      <c r="N10" s="24">
        <v>0</v>
      </c>
      <c r="O10" s="24">
        <v>600000</v>
      </c>
      <c r="P10" s="24">
        <v>0</v>
      </c>
      <c r="Q10" s="24">
        <v>600000</v>
      </c>
      <c r="R10" s="24">
        <v>0</v>
      </c>
      <c r="S10" s="24">
        <v>600000</v>
      </c>
      <c r="T10" s="24">
        <v>0</v>
      </c>
      <c r="U10" s="24">
        <v>600000</v>
      </c>
    </row>
    <row r="11" spans="1:22" x14ac:dyDescent="0.35">
      <c r="A11" s="13" t="s">
        <v>1</v>
      </c>
      <c r="B11" s="25">
        <f t="shared" ref="B11:D11" si="6">SUM(B9:B10)</f>
        <v>20744720</v>
      </c>
      <c r="C11" s="25">
        <f t="shared" si="6"/>
        <v>22640600</v>
      </c>
      <c r="D11" s="25">
        <f t="shared" si="6"/>
        <v>20257447</v>
      </c>
      <c r="E11" s="33">
        <f t="shared" ref="E11:U11" si="7">SUM(E9:E10)</f>
        <v>20218890</v>
      </c>
      <c r="F11" s="25">
        <f t="shared" si="7"/>
        <v>19656018</v>
      </c>
      <c r="G11" s="25">
        <f t="shared" si="7"/>
        <v>20649138.359999999</v>
      </c>
      <c r="H11" s="25">
        <f t="shared" si="7"/>
        <v>20649138.359999999</v>
      </c>
      <c r="I11" s="25">
        <f t="shared" si="7"/>
        <v>21662121.1272</v>
      </c>
      <c r="J11" s="25">
        <f t="shared" si="7"/>
        <v>21662121.1272</v>
      </c>
      <c r="K11" s="25">
        <f t="shared" si="7"/>
        <v>22695363.549743999</v>
      </c>
      <c r="L11" s="25">
        <f t="shared" si="7"/>
        <v>24546134.106662802</v>
      </c>
      <c r="M11" s="25">
        <f t="shared" si="7"/>
        <v>26480584.350704566</v>
      </c>
      <c r="N11" s="25">
        <f t="shared" si="7"/>
        <v>27359363.175135426</v>
      </c>
      <c r="O11" s="25">
        <f t="shared" si="7"/>
        <v>26407784.888979048</v>
      </c>
      <c r="P11" s="25">
        <f t="shared" si="7"/>
        <v>27336961.036132462</v>
      </c>
      <c r="Q11" s="25">
        <f t="shared" si="7"/>
        <v>26545233.00514327</v>
      </c>
      <c r="R11" s="25">
        <f t="shared" si="7"/>
        <v>26537122.775067598</v>
      </c>
      <c r="S11" s="25">
        <f t="shared" si="7"/>
        <v>21586798.46054592</v>
      </c>
      <c r="T11" s="25">
        <f t="shared" si="7"/>
        <v>19890625.228999928</v>
      </c>
      <c r="U11" s="25">
        <f t="shared" si="7"/>
        <v>17650958.468537733</v>
      </c>
    </row>
    <row r="12" spans="1:22" x14ac:dyDescent="0.35">
      <c r="A12" s="4" t="s">
        <v>2</v>
      </c>
      <c r="B12">
        <v>55.052999999999997</v>
      </c>
      <c r="C12">
        <v>56.423000000000002</v>
      </c>
      <c r="D12">
        <v>55.555999999999997</v>
      </c>
      <c r="E12" s="35">
        <v>56.694000000000003</v>
      </c>
      <c r="F12">
        <v>56.694000000000003</v>
      </c>
      <c r="G12">
        <v>56.694000000000003</v>
      </c>
      <c r="H12">
        <v>56.694000000000003</v>
      </c>
      <c r="I12">
        <v>56.694000000000003</v>
      </c>
      <c r="J12">
        <v>56.694000000000003</v>
      </c>
      <c r="K12">
        <v>56.694000000000003</v>
      </c>
      <c r="L12">
        <v>56.694000000000003</v>
      </c>
      <c r="M12">
        <v>56.694000000000003</v>
      </c>
      <c r="N12">
        <v>56.694000000000003</v>
      </c>
      <c r="O12">
        <v>56.694000000000003</v>
      </c>
      <c r="P12">
        <v>56.694000000000003</v>
      </c>
      <c r="Q12">
        <v>56.694000000000003</v>
      </c>
      <c r="R12">
        <v>56.694000000000003</v>
      </c>
      <c r="S12">
        <v>56.694000000000003</v>
      </c>
      <c r="T12">
        <v>56.694000000000003</v>
      </c>
      <c r="U12">
        <v>56.694000000000003</v>
      </c>
    </row>
    <row r="13" spans="1:22" x14ac:dyDescent="0.35">
      <c r="A13" s="3" t="s">
        <v>3</v>
      </c>
      <c r="B13" s="28">
        <v>1142057</v>
      </c>
      <c r="C13" s="28">
        <v>1215904</v>
      </c>
      <c r="D13" s="28">
        <v>1125413</v>
      </c>
      <c r="E13" s="36">
        <v>1146290</v>
      </c>
      <c r="F13" s="28">
        <f t="shared" ref="F13:U13" si="8">ROUND(F11/1000*F12,0)</f>
        <v>1114378</v>
      </c>
      <c r="G13" s="28">
        <f t="shared" si="8"/>
        <v>1170682</v>
      </c>
      <c r="H13" s="28">
        <f t="shared" si="8"/>
        <v>1170682</v>
      </c>
      <c r="I13" s="28">
        <f t="shared" si="8"/>
        <v>1228112</v>
      </c>
      <c r="J13" s="28">
        <f t="shared" si="8"/>
        <v>1228112</v>
      </c>
      <c r="K13" s="28">
        <f t="shared" si="8"/>
        <v>1286691</v>
      </c>
      <c r="L13" s="28">
        <f t="shared" si="8"/>
        <v>1391619</v>
      </c>
      <c r="M13" s="28">
        <f t="shared" si="8"/>
        <v>1501290</v>
      </c>
      <c r="N13" s="28">
        <f t="shared" si="8"/>
        <v>1551112</v>
      </c>
      <c r="O13" s="28">
        <f t="shared" si="8"/>
        <v>1497163</v>
      </c>
      <c r="P13" s="28">
        <f t="shared" si="8"/>
        <v>1549842</v>
      </c>
      <c r="Q13" s="28">
        <f t="shared" si="8"/>
        <v>1504955</v>
      </c>
      <c r="R13" s="28">
        <f t="shared" si="8"/>
        <v>1504496</v>
      </c>
      <c r="S13" s="28">
        <f t="shared" si="8"/>
        <v>1223842</v>
      </c>
      <c r="T13" s="28">
        <f t="shared" si="8"/>
        <v>1127679</v>
      </c>
      <c r="U13" s="28">
        <f t="shared" si="8"/>
        <v>1000703</v>
      </c>
    </row>
    <row r="14" spans="1:22" x14ac:dyDescent="0.35">
      <c r="A14" s="5" t="s">
        <v>4</v>
      </c>
      <c r="B14" s="2">
        <v>3.3000000000000002E-2</v>
      </c>
      <c r="C14" s="2">
        <f t="shared" ref="C14:U14" si="9">C13/B13-1</f>
        <v>6.4661396059916498E-2</v>
      </c>
      <c r="D14" s="2">
        <f t="shared" si="9"/>
        <v>-7.442281627496905E-2</v>
      </c>
      <c r="E14" s="37">
        <f t="shared" si="9"/>
        <v>1.8550523230138616E-2</v>
      </c>
      <c r="F14" s="2">
        <f t="shared" si="9"/>
        <v>-2.7839377469924709E-2</v>
      </c>
      <c r="G14" s="2">
        <f t="shared" si="9"/>
        <v>5.0525046258989237E-2</v>
      </c>
      <c r="H14" s="2">
        <f t="shared" si="9"/>
        <v>0</v>
      </c>
      <c r="I14" s="2">
        <f t="shared" si="9"/>
        <v>4.9056874539798123E-2</v>
      </c>
      <c r="J14" s="2">
        <f t="shared" si="9"/>
        <v>0</v>
      </c>
      <c r="K14" s="2">
        <f t="shared" si="9"/>
        <v>4.7698418385293762E-2</v>
      </c>
      <c r="L14" s="2">
        <f t="shared" si="9"/>
        <v>8.1548716824785483E-2</v>
      </c>
      <c r="M14" s="2">
        <f t="shared" si="9"/>
        <v>7.8808208281145875E-2</v>
      </c>
      <c r="N14" s="2">
        <f t="shared" si="9"/>
        <v>3.3186126597792631E-2</v>
      </c>
      <c r="O14" s="2">
        <f t="shared" si="9"/>
        <v>-3.4780853993779948E-2</v>
      </c>
      <c r="P14" s="2">
        <f t="shared" si="9"/>
        <v>3.5185881563998045E-2</v>
      </c>
      <c r="Q14" s="2">
        <f t="shared" si="9"/>
        <v>-2.8962307125500519E-2</v>
      </c>
      <c r="R14" s="2">
        <f t="shared" si="9"/>
        <v>-3.0499250808169176E-4</v>
      </c>
      <c r="S14" s="2">
        <f t="shared" si="9"/>
        <v>-0.18654353351554276</v>
      </c>
      <c r="T14" s="2">
        <f t="shared" si="9"/>
        <v>-7.8574685294343527E-2</v>
      </c>
      <c r="U14" s="2">
        <f t="shared" si="9"/>
        <v>-0.11259941880623825</v>
      </c>
    </row>
    <row r="15" spans="1:22" x14ac:dyDescent="0.35">
      <c r="A15" s="15" t="s">
        <v>6</v>
      </c>
      <c r="B15" s="12"/>
      <c r="C15" s="12"/>
      <c r="D15" s="12"/>
      <c r="E15" s="3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2" x14ac:dyDescent="0.35">
      <c r="A16" s="8" t="s">
        <v>9</v>
      </c>
      <c r="B16" s="24">
        <v>150000</v>
      </c>
      <c r="C16" s="24">
        <v>153000</v>
      </c>
      <c r="D16" s="24">
        <v>159135</v>
      </c>
      <c r="E16" s="34">
        <v>146501</v>
      </c>
      <c r="F16" s="24">
        <v>160000</v>
      </c>
      <c r="G16" s="24">
        <f t="shared" ref="G16:U16" si="10">F16*(1+G17)</f>
        <v>163200</v>
      </c>
      <c r="H16" s="24">
        <f t="shared" si="10"/>
        <v>166464</v>
      </c>
      <c r="I16" s="24">
        <f t="shared" si="10"/>
        <v>169793.28</v>
      </c>
      <c r="J16" s="24">
        <f t="shared" si="10"/>
        <v>173189.14559999999</v>
      </c>
      <c r="K16" s="24">
        <f t="shared" si="10"/>
        <v>176652.92851199998</v>
      </c>
      <c r="L16" s="24">
        <f t="shared" si="10"/>
        <v>180185.98708224</v>
      </c>
      <c r="M16" s="24">
        <f t="shared" si="10"/>
        <v>183789.7068238848</v>
      </c>
      <c r="N16" s="24">
        <f t="shared" si="10"/>
        <v>187465.50096036249</v>
      </c>
      <c r="O16" s="24">
        <f t="shared" si="10"/>
        <v>191214.81097956974</v>
      </c>
      <c r="P16" s="24">
        <f t="shared" si="10"/>
        <v>195039.10719916114</v>
      </c>
      <c r="Q16" s="24">
        <f t="shared" si="10"/>
        <v>198939.88934314437</v>
      </c>
      <c r="R16" s="24">
        <f t="shared" si="10"/>
        <v>202918.68713000725</v>
      </c>
      <c r="S16" s="24">
        <f t="shared" si="10"/>
        <v>206977.0608726074</v>
      </c>
      <c r="T16" s="24">
        <f t="shared" si="10"/>
        <v>211116.60209005955</v>
      </c>
      <c r="U16" s="24">
        <f t="shared" si="10"/>
        <v>215338.93413186073</v>
      </c>
    </row>
    <row r="17" spans="1:21" x14ac:dyDescent="0.35">
      <c r="A17" s="5" t="s">
        <v>4</v>
      </c>
      <c r="B17" s="2">
        <v>-0.31919999999999998</v>
      </c>
      <c r="C17" s="2">
        <f t="shared" ref="C17:F17" si="11">C16/B16-1</f>
        <v>2.0000000000000018E-2</v>
      </c>
      <c r="D17" s="2">
        <f t="shared" si="11"/>
        <v>4.0098039215686221E-2</v>
      </c>
      <c r="E17" s="37">
        <f t="shared" si="11"/>
        <v>-7.9391711439972368E-2</v>
      </c>
      <c r="F17" s="2">
        <f t="shared" si="11"/>
        <v>9.2142715749380599E-2</v>
      </c>
      <c r="G17" s="2">
        <v>0.02</v>
      </c>
      <c r="H17" s="2">
        <v>0.02</v>
      </c>
      <c r="I17" s="2">
        <v>0.02</v>
      </c>
      <c r="J17" s="2">
        <v>0.02</v>
      </c>
      <c r="K17" s="2">
        <v>0.02</v>
      </c>
      <c r="L17" s="2">
        <v>0.02</v>
      </c>
      <c r="M17" s="2">
        <v>0.02</v>
      </c>
      <c r="N17" s="2">
        <v>0.02</v>
      </c>
      <c r="O17" s="2">
        <v>0.02</v>
      </c>
      <c r="P17" s="2">
        <v>0.02</v>
      </c>
      <c r="Q17" s="2">
        <v>0.02</v>
      </c>
      <c r="R17" s="2">
        <v>0.02</v>
      </c>
      <c r="S17" s="2">
        <v>0.02</v>
      </c>
      <c r="T17" s="2">
        <v>0.02</v>
      </c>
      <c r="U17" s="2">
        <v>0.02</v>
      </c>
    </row>
    <row r="18" spans="1:21" x14ac:dyDescent="0.35">
      <c r="A18" s="15" t="s">
        <v>8</v>
      </c>
      <c r="B18" s="12"/>
      <c r="C18" s="12"/>
      <c r="D18" s="12"/>
      <c r="E18" s="38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x14ac:dyDescent="0.35">
      <c r="A19" s="10" t="s">
        <v>8</v>
      </c>
      <c r="B19" s="24">
        <v>489868</v>
      </c>
      <c r="C19" s="24">
        <v>489868</v>
      </c>
      <c r="D19" s="24">
        <v>504564</v>
      </c>
      <c r="E19" s="34">
        <v>412867</v>
      </c>
      <c r="F19" s="24">
        <v>514658</v>
      </c>
      <c r="G19" s="24">
        <f>F19*(1+G20)</f>
        <v>530097.74</v>
      </c>
      <c r="H19" s="24">
        <f>G19*(1+H20)</f>
        <v>546000.67220000003</v>
      </c>
      <c r="I19" s="24">
        <f t="shared" ref="I19:U19" si="12">H19*(1+I20)</f>
        <v>562380.69236600003</v>
      </c>
      <c r="J19" s="24">
        <f t="shared" si="12"/>
        <v>579252.1131369801</v>
      </c>
      <c r="K19" s="24">
        <f t="shared" si="12"/>
        <v>596629.67653108947</v>
      </c>
      <c r="L19" s="24">
        <f t="shared" si="12"/>
        <v>614528.56682702212</v>
      </c>
      <c r="M19" s="24">
        <f t="shared" si="12"/>
        <v>632964.42383183283</v>
      </c>
      <c r="N19" s="24">
        <f t="shared" si="12"/>
        <v>651953.35654678778</v>
      </c>
      <c r="O19" s="24">
        <f t="shared" si="12"/>
        <v>671511.95724319143</v>
      </c>
      <c r="P19" s="24">
        <f t="shared" si="12"/>
        <v>691657.31596048723</v>
      </c>
      <c r="Q19" s="24">
        <f t="shared" si="12"/>
        <v>712407.03543930186</v>
      </c>
      <c r="R19" s="24">
        <f t="shared" si="12"/>
        <v>733779.24650248094</v>
      </c>
      <c r="S19" s="24">
        <f t="shared" si="12"/>
        <v>755792.6238975554</v>
      </c>
      <c r="T19" s="24">
        <f t="shared" si="12"/>
        <v>778466.4026144821</v>
      </c>
      <c r="U19" s="24">
        <f t="shared" si="12"/>
        <v>801820.39469291654</v>
      </c>
    </row>
    <row r="20" spans="1:21" x14ac:dyDescent="0.35">
      <c r="A20" s="5" t="s">
        <v>4</v>
      </c>
      <c r="B20" s="2">
        <v>0.92200000000000004</v>
      </c>
      <c r="C20" s="2">
        <f t="shared" ref="C20:F20" si="13">SUM(C19:C19)/SUM(B19:B19)-1</f>
        <v>0</v>
      </c>
      <c r="D20" s="2">
        <f t="shared" si="13"/>
        <v>2.9999918345350096E-2</v>
      </c>
      <c r="E20" s="37">
        <f t="shared" si="13"/>
        <v>-0.18173512180813534</v>
      </c>
      <c r="F20" s="2">
        <f t="shared" si="13"/>
        <v>0.24654670874640017</v>
      </c>
      <c r="G20" s="2">
        <v>0.03</v>
      </c>
      <c r="H20" s="2">
        <v>0.03</v>
      </c>
      <c r="I20" s="2">
        <v>0.03</v>
      </c>
      <c r="J20" s="2">
        <v>0.03</v>
      </c>
      <c r="K20" s="2">
        <v>0.03</v>
      </c>
      <c r="L20" s="2">
        <v>0.03</v>
      </c>
      <c r="M20" s="2">
        <v>0.03</v>
      </c>
      <c r="N20" s="2">
        <v>0.03</v>
      </c>
      <c r="O20" s="2">
        <v>0.03</v>
      </c>
      <c r="P20" s="2">
        <v>0.03</v>
      </c>
      <c r="Q20" s="2">
        <v>0.03</v>
      </c>
      <c r="R20" s="2">
        <v>0.03</v>
      </c>
      <c r="S20" s="2">
        <v>0.03</v>
      </c>
      <c r="T20" s="2">
        <v>0.03</v>
      </c>
      <c r="U20" s="2">
        <v>0.03</v>
      </c>
    </row>
    <row r="21" spans="1:21" ht="15" thickBot="1" x14ac:dyDescent="0.4">
      <c r="A21" s="19" t="s">
        <v>7</v>
      </c>
      <c r="B21" s="23">
        <f>B13+B16+B19</f>
        <v>1781925</v>
      </c>
      <c r="C21" s="23">
        <f>C13+C16+C19</f>
        <v>1858772</v>
      </c>
      <c r="D21" s="23">
        <f t="shared" ref="D21:F21" si="14">D13+D16+D19</f>
        <v>1789112</v>
      </c>
      <c r="E21" s="39">
        <f t="shared" si="14"/>
        <v>1705658</v>
      </c>
      <c r="F21" s="23">
        <f t="shared" si="14"/>
        <v>1789036</v>
      </c>
      <c r="G21" s="23">
        <f>G13+G16+G19</f>
        <v>1863979.74</v>
      </c>
      <c r="H21" s="23">
        <f t="shared" ref="H21:U21" si="15">H13+H16+H19</f>
        <v>1883146.6721999999</v>
      </c>
      <c r="I21" s="23">
        <f t="shared" si="15"/>
        <v>1960285.9723660001</v>
      </c>
      <c r="J21" s="23">
        <f t="shared" si="15"/>
        <v>1980553.2587369801</v>
      </c>
      <c r="K21" s="23">
        <f t="shared" si="15"/>
        <v>2059973.6050430895</v>
      </c>
      <c r="L21" s="23">
        <f t="shared" si="15"/>
        <v>2186333.5539092622</v>
      </c>
      <c r="M21" s="23">
        <f t="shared" si="15"/>
        <v>2318044.1306557176</v>
      </c>
      <c r="N21" s="23">
        <f t="shared" si="15"/>
        <v>2390530.8575071506</v>
      </c>
      <c r="O21" s="23">
        <f t="shared" si="15"/>
        <v>2359889.7682227613</v>
      </c>
      <c r="P21" s="23">
        <f t="shared" si="15"/>
        <v>2436538.4231596482</v>
      </c>
      <c r="Q21" s="23">
        <f t="shared" si="15"/>
        <v>2416301.9247824461</v>
      </c>
      <c r="R21" s="23">
        <f t="shared" si="15"/>
        <v>2441193.9336324884</v>
      </c>
      <c r="S21" s="23">
        <f t="shared" si="15"/>
        <v>2186611.6847701627</v>
      </c>
      <c r="T21" s="23">
        <f t="shared" si="15"/>
        <v>2117262.0047045415</v>
      </c>
      <c r="U21" s="23">
        <f t="shared" si="15"/>
        <v>2017862.3288247772</v>
      </c>
    </row>
    <row r="22" spans="1:21" ht="15" thickTop="1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x14ac:dyDescent="0.35">
      <c r="A23" s="20" t="s">
        <v>11</v>
      </c>
      <c r="B23" s="12"/>
      <c r="C23" s="12"/>
      <c r="D23" s="12"/>
      <c r="E23" s="3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x14ac:dyDescent="0.35">
      <c r="A24" t="s">
        <v>12</v>
      </c>
      <c r="B24" s="24">
        <v>0</v>
      </c>
      <c r="C24" s="24">
        <v>0</v>
      </c>
      <c r="D24" s="24">
        <v>0</v>
      </c>
      <c r="E24" s="3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ref="Q24:U24" si="16">P24*(1+Q25)</f>
        <v>0</v>
      </c>
      <c r="R24" s="24">
        <f t="shared" si="16"/>
        <v>0</v>
      </c>
      <c r="S24" s="24">
        <f t="shared" si="16"/>
        <v>0</v>
      </c>
      <c r="T24" s="24">
        <f t="shared" si="16"/>
        <v>0</v>
      </c>
      <c r="U24" s="24">
        <f t="shared" si="16"/>
        <v>0</v>
      </c>
    </row>
    <row r="25" spans="1:21" x14ac:dyDescent="0.35">
      <c r="A25" s="4" t="s">
        <v>13</v>
      </c>
      <c r="B25" s="7">
        <v>0</v>
      </c>
      <c r="C25" s="7">
        <v>0</v>
      </c>
      <c r="D25" s="7">
        <v>0</v>
      </c>
      <c r="E25" s="40">
        <v>0</v>
      </c>
      <c r="F25" s="7">
        <v>0</v>
      </c>
      <c r="G25" s="7">
        <v>0.03</v>
      </c>
      <c r="H25" s="7">
        <v>0.03</v>
      </c>
      <c r="I25" s="7">
        <v>0.03</v>
      </c>
      <c r="J25" s="7">
        <v>0.03</v>
      </c>
      <c r="K25" s="7">
        <v>0.03</v>
      </c>
      <c r="L25" s="7">
        <v>0.03</v>
      </c>
      <c r="M25" s="7">
        <v>0.03</v>
      </c>
      <c r="N25" s="7">
        <v>0.03</v>
      </c>
      <c r="O25" s="7">
        <v>0.03</v>
      </c>
      <c r="P25" s="7">
        <v>0.03</v>
      </c>
      <c r="Q25" s="7">
        <v>0.03</v>
      </c>
      <c r="R25" s="7">
        <v>0.03</v>
      </c>
      <c r="S25" s="7">
        <v>0.03</v>
      </c>
      <c r="T25" s="7">
        <v>0.03</v>
      </c>
      <c r="U25" s="7">
        <v>0.03</v>
      </c>
    </row>
    <row r="26" spans="1:21" x14ac:dyDescent="0.35">
      <c r="A26" s="12" t="s">
        <v>17</v>
      </c>
      <c r="B26" s="12"/>
      <c r="C26" s="12"/>
      <c r="D26" s="12"/>
      <c r="E26" s="38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35">
      <c r="A27" s="4" t="s">
        <v>18</v>
      </c>
      <c r="B27" s="22">
        <v>911646.02</v>
      </c>
      <c r="C27" s="22">
        <v>912590</v>
      </c>
      <c r="D27" s="22">
        <v>909835</v>
      </c>
      <c r="E27" s="34">
        <v>910070</v>
      </c>
      <c r="F27" s="22">
        <v>908010</v>
      </c>
      <c r="G27" s="22">
        <v>908555</v>
      </c>
      <c r="H27" s="22">
        <v>911380</v>
      </c>
      <c r="I27" s="22">
        <v>911130</v>
      </c>
      <c r="J27" s="22">
        <v>907665</v>
      </c>
      <c r="K27" s="22">
        <v>910845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x14ac:dyDescent="0.35">
      <c r="A28" s="4" t="s">
        <v>19</v>
      </c>
      <c r="B28" s="24">
        <v>0</v>
      </c>
      <c r="C28" s="24">
        <v>0</v>
      </c>
      <c r="D28" s="24">
        <v>0</v>
      </c>
      <c r="E28" s="34">
        <v>0</v>
      </c>
      <c r="F28" s="24">
        <v>0</v>
      </c>
      <c r="G28" s="24">
        <v>732800</v>
      </c>
      <c r="H28" s="24">
        <v>731200</v>
      </c>
      <c r="I28" s="24">
        <v>729400</v>
      </c>
      <c r="J28" s="24">
        <v>732400</v>
      </c>
      <c r="K28" s="24">
        <v>730000</v>
      </c>
      <c r="L28" s="24">
        <v>1642400</v>
      </c>
      <c r="M28" s="24">
        <v>1643000</v>
      </c>
      <c r="N28" s="24">
        <v>1641800</v>
      </c>
      <c r="O28" s="24">
        <v>1638800</v>
      </c>
      <c r="P28" s="24">
        <v>1639000</v>
      </c>
      <c r="Q28" s="24">
        <v>1642200</v>
      </c>
      <c r="R28" s="24">
        <v>1638200</v>
      </c>
      <c r="S28" s="24">
        <v>1642200</v>
      </c>
      <c r="T28" s="24">
        <v>1638800</v>
      </c>
      <c r="U28" s="24">
        <v>1643200</v>
      </c>
    </row>
    <row r="29" spans="1:21" x14ac:dyDescent="0.35">
      <c r="A29" s="4" t="s">
        <v>36</v>
      </c>
      <c r="B29" s="24"/>
      <c r="C29" s="24"/>
      <c r="D29" s="24"/>
      <c r="E29" s="3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f>-F35</f>
        <v>-1419500</v>
      </c>
    </row>
    <row r="30" spans="1:21" x14ac:dyDescent="0.35">
      <c r="A30" s="49" t="s">
        <v>35</v>
      </c>
      <c r="B30" s="25">
        <f t="shared" ref="B30:D30" si="17">SUM(B27:B28)</f>
        <v>911646.02</v>
      </c>
      <c r="C30" s="25">
        <f t="shared" si="17"/>
        <v>912590</v>
      </c>
      <c r="D30" s="25">
        <f t="shared" si="17"/>
        <v>909835</v>
      </c>
      <c r="E30" s="33">
        <f t="shared" ref="E30:U30" si="18">SUM(E27:E29)</f>
        <v>910070</v>
      </c>
      <c r="F30" s="25">
        <f t="shared" si="18"/>
        <v>908010</v>
      </c>
      <c r="G30" s="25">
        <f t="shared" si="18"/>
        <v>1641355</v>
      </c>
      <c r="H30" s="25">
        <f t="shared" si="18"/>
        <v>1642580</v>
      </c>
      <c r="I30" s="25">
        <f t="shared" si="18"/>
        <v>1640530</v>
      </c>
      <c r="J30" s="25">
        <f t="shared" si="18"/>
        <v>1640065</v>
      </c>
      <c r="K30" s="25">
        <f t="shared" si="18"/>
        <v>1640845</v>
      </c>
      <c r="L30" s="25">
        <f t="shared" si="18"/>
        <v>1642400</v>
      </c>
      <c r="M30" s="25">
        <f t="shared" si="18"/>
        <v>1643000</v>
      </c>
      <c r="N30" s="25">
        <f t="shared" si="18"/>
        <v>1641800</v>
      </c>
      <c r="O30" s="25">
        <f t="shared" si="18"/>
        <v>1638800</v>
      </c>
      <c r="P30" s="25">
        <f t="shared" si="18"/>
        <v>1639000</v>
      </c>
      <c r="Q30" s="25">
        <f t="shared" si="18"/>
        <v>1642200</v>
      </c>
      <c r="R30" s="25">
        <f t="shared" si="18"/>
        <v>1638200</v>
      </c>
      <c r="S30" s="25">
        <f t="shared" si="18"/>
        <v>1642200</v>
      </c>
      <c r="T30" s="25">
        <f t="shared" si="18"/>
        <v>1638800</v>
      </c>
      <c r="U30" s="25">
        <f t="shared" si="18"/>
        <v>223700</v>
      </c>
    </row>
    <row r="31" spans="1:21" ht="15" thickBot="1" x14ac:dyDescent="0.4">
      <c r="A31" s="18" t="s">
        <v>20</v>
      </c>
      <c r="B31" s="26">
        <f t="shared" ref="B31:U31" si="19">SUM(B30,B24)</f>
        <v>911646.02</v>
      </c>
      <c r="C31" s="26">
        <f t="shared" si="19"/>
        <v>912590</v>
      </c>
      <c r="D31" s="26">
        <f t="shared" si="19"/>
        <v>909835</v>
      </c>
      <c r="E31" s="31">
        <f t="shared" si="19"/>
        <v>910070</v>
      </c>
      <c r="F31" s="26">
        <f t="shared" si="19"/>
        <v>908010</v>
      </c>
      <c r="G31" s="26">
        <f t="shared" si="19"/>
        <v>1641355</v>
      </c>
      <c r="H31" s="26">
        <f t="shared" si="19"/>
        <v>1642580</v>
      </c>
      <c r="I31" s="26">
        <f t="shared" si="19"/>
        <v>1640530</v>
      </c>
      <c r="J31" s="26">
        <f t="shared" si="19"/>
        <v>1640065</v>
      </c>
      <c r="K31" s="26">
        <f t="shared" si="19"/>
        <v>1640845</v>
      </c>
      <c r="L31" s="26">
        <f t="shared" si="19"/>
        <v>1642400</v>
      </c>
      <c r="M31" s="26">
        <f t="shared" si="19"/>
        <v>1643000</v>
      </c>
      <c r="N31" s="26">
        <f t="shared" si="19"/>
        <v>1641800</v>
      </c>
      <c r="O31" s="26">
        <f t="shared" si="19"/>
        <v>1638800</v>
      </c>
      <c r="P31" s="26">
        <f t="shared" si="19"/>
        <v>1639000</v>
      </c>
      <c r="Q31" s="26">
        <f t="shared" si="19"/>
        <v>1642200</v>
      </c>
      <c r="R31" s="26">
        <f t="shared" si="19"/>
        <v>1638200</v>
      </c>
      <c r="S31" s="26">
        <f t="shared" si="19"/>
        <v>1642200</v>
      </c>
      <c r="T31" s="26">
        <f t="shared" si="19"/>
        <v>1638800</v>
      </c>
      <c r="U31" s="26">
        <f t="shared" si="19"/>
        <v>223700</v>
      </c>
    </row>
    <row r="32" spans="1:21" ht="15" thickTop="1" x14ac:dyDescent="0.3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x14ac:dyDescent="0.35">
      <c r="A33" s="20" t="s">
        <v>28</v>
      </c>
      <c r="B33" s="12"/>
      <c r="C33" s="12"/>
      <c r="D33" s="12"/>
      <c r="E33" s="3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x14ac:dyDescent="0.35">
      <c r="A34" s="44" t="s">
        <v>22</v>
      </c>
      <c r="B34" s="21">
        <f>1839457-B21-200</f>
        <v>57332</v>
      </c>
      <c r="C34" s="21">
        <v>0</v>
      </c>
      <c r="D34" s="21">
        <v>0</v>
      </c>
      <c r="E34" s="4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</row>
    <row r="35" spans="1:21" x14ac:dyDescent="0.35">
      <c r="A35" s="45" t="s">
        <v>23</v>
      </c>
      <c r="B35" s="21">
        <v>0</v>
      </c>
      <c r="C35" s="21">
        <v>63742.979999999981</v>
      </c>
      <c r="D35" s="21">
        <v>1082464.98</v>
      </c>
      <c r="E35" s="41">
        <v>802450.02</v>
      </c>
      <c r="F35" s="21">
        <v>1419500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</row>
    <row r="36" spans="1:21" x14ac:dyDescent="0.35">
      <c r="A36" s="12" t="s">
        <v>16</v>
      </c>
      <c r="B36" s="25">
        <f>B21-B31+B34</f>
        <v>927610.98</v>
      </c>
      <c r="C36" s="25">
        <f>C21-C31+C34-C35</f>
        <v>882439.02</v>
      </c>
      <c r="D36" s="25">
        <f>D21-D31+D34-D35</f>
        <v>-203187.97999999998</v>
      </c>
      <c r="E36" s="33">
        <f>E21-E31+E34-E35</f>
        <v>-6862.0200000000186</v>
      </c>
      <c r="F36" s="25">
        <f t="shared" ref="F36:P36" si="20">F21-F31+F34-F35</f>
        <v>-538474</v>
      </c>
      <c r="G36" s="25">
        <f t="shared" si="20"/>
        <v>222624.74</v>
      </c>
      <c r="H36" s="25">
        <f t="shared" si="20"/>
        <v>240566.67219999991</v>
      </c>
      <c r="I36" s="25">
        <f t="shared" si="20"/>
        <v>319755.97236600006</v>
      </c>
      <c r="J36" s="25">
        <f t="shared" si="20"/>
        <v>340488.25873698015</v>
      </c>
      <c r="K36" s="25">
        <f t="shared" si="20"/>
        <v>419128.60504308948</v>
      </c>
      <c r="L36" s="25">
        <f t="shared" si="20"/>
        <v>543933.55390926218</v>
      </c>
      <c r="M36" s="25">
        <f t="shared" si="20"/>
        <v>675044.13065571757</v>
      </c>
      <c r="N36" s="25">
        <f t="shared" si="20"/>
        <v>748730.85750715062</v>
      </c>
      <c r="O36" s="25">
        <f t="shared" si="20"/>
        <v>721089.76822276134</v>
      </c>
      <c r="P36" s="25">
        <f t="shared" si="20"/>
        <v>797538.4231596482</v>
      </c>
      <c r="Q36" s="25">
        <f>Q21-Q31+Q34</f>
        <v>774101.92478244612</v>
      </c>
      <c r="R36" s="25">
        <f>R21-R31+R34</f>
        <v>802993.93363248836</v>
      </c>
      <c r="S36" s="25">
        <f>S21-S31+S34</f>
        <v>544411.68477016268</v>
      </c>
      <c r="T36" s="25">
        <f>T21-T31+T34</f>
        <v>478462.00470454153</v>
      </c>
      <c r="U36" s="25">
        <f>U21-U31+U34</f>
        <v>1794162.3288247772</v>
      </c>
    </row>
    <row r="37" spans="1:21" ht="15" thickBot="1" x14ac:dyDescent="0.4">
      <c r="A37" s="17" t="s">
        <v>15</v>
      </c>
      <c r="B37" s="23">
        <f t="shared" ref="B37:U37" si="21">B36+B3</f>
        <v>927610.98</v>
      </c>
      <c r="C37" s="23">
        <f t="shared" si="21"/>
        <v>1810050</v>
      </c>
      <c r="D37" s="23">
        <f t="shared" si="21"/>
        <v>1606862.02</v>
      </c>
      <c r="E37" s="39">
        <f t="shared" si="21"/>
        <v>1600000</v>
      </c>
      <c r="F37" s="23">
        <f t="shared" si="21"/>
        <v>1061526</v>
      </c>
      <c r="G37" s="23">
        <f t="shared" si="21"/>
        <v>1284150.74</v>
      </c>
      <c r="H37" s="23">
        <f t="shared" si="21"/>
        <v>1524717.4121999999</v>
      </c>
      <c r="I37" s="23">
        <f t="shared" si="21"/>
        <v>1844473.384566</v>
      </c>
      <c r="J37" s="23">
        <f t="shared" si="21"/>
        <v>2184961.6433029799</v>
      </c>
      <c r="K37" s="23">
        <f t="shared" si="21"/>
        <v>2604090.2483460694</v>
      </c>
      <c r="L37" s="23">
        <f t="shared" si="21"/>
        <v>3148023.8022553315</v>
      </c>
      <c r="M37" s="23">
        <f t="shared" si="21"/>
        <v>3823067.9329110491</v>
      </c>
      <c r="N37" s="23">
        <f t="shared" si="21"/>
        <v>4571798.7904182002</v>
      </c>
      <c r="O37" s="23">
        <f t="shared" si="21"/>
        <v>5292888.5586409615</v>
      </c>
      <c r="P37" s="23">
        <f t="shared" si="21"/>
        <v>6090426.9818006102</v>
      </c>
      <c r="Q37" s="23">
        <f t="shared" si="21"/>
        <v>6864528.9065830559</v>
      </c>
      <c r="R37" s="23">
        <f t="shared" si="21"/>
        <v>7667522.8402155442</v>
      </c>
      <c r="S37" s="23">
        <f t="shared" si="21"/>
        <v>8211934.5249857064</v>
      </c>
      <c r="T37" s="23">
        <f t="shared" si="21"/>
        <v>8690396.529690247</v>
      </c>
      <c r="U37" s="23">
        <f t="shared" si="21"/>
        <v>10484558.858515024</v>
      </c>
    </row>
    <row r="38" spans="1:21" ht="15" thickTop="1" x14ac:dyDescent="0.3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x14ac:dyDescent="0.35">
      <c r="A39" s="20" t="s">
        <v>24</v>
      </c>
      <c r="B39" s="29">
        <f t="shared" ref="B39:U39" si="22">B21/B30</f>
        <v>1.9546237913702513</v>
      </c>
      <c r="C39" s="29">
        <f t="shared" si="22"/>
        <v>2.0368095201569161</v>
      </c>
      <c r="D39" s="29">
        <f t="shared" si="22"/>
        <v>1.9664136903944123</v>
      </c>
      <c r="E39" s="42">
        <f t="shared" si="22"/>
        <v>1.8742052809124572</v>
      </c>
      <c r="F39" s="29">
        <f t="shared" si="22"/>
        <v>1.9702822656138148</v>
      </c>
      <c r="G39" s="29">
        <f t="shared" si="22"/>
        <v>1.1356347286236068</v>
      </c>
      <c r="H39" s="29">
        <f t="shared" si="22"/>
        <v>1.1464565940167297</v>
      </c>
      <c r="I39" s="29">
        <f t="shared" si="22"/>
        <v>1.1949101646211895</v>
      </c>
      <c r="J39" s="29">
        <f t="shared" si="22"/>
        <v>1.2076065636038695</v>
      </c>
      <c r="K39" s="29">
        <f t="shared" si="22"/>
        <v>1.2554346114612225</v>
      </c>
      <c r="L39" s="29">
        <f t="shared" si="22"/>
        <v>1.3311821443675489</v>
      </c>
      <c r="M39" s="29">
        <f t="shared" si="22"/>
        <v>1.4108607003382334</v>
      </c>
      <c r="N39" s="29">
        <f t="shared" si="22"/>
        <v>1.4560426711579673</v>
      </c>
      <c r="O39" s="29">
        <f t="shared" si="22"/>
        <v>1.4400108422155</v>
      </c>
      <c r="P39" s="29">
        <f t="shared" si="22"/>
        <v>1.4866006242584797</v>
      </c>
      <c r="Q39" s="29">
        <f t="shared" si="22"/>
        <v>1.4713810283658788</v>
      </c>
      <c r="R39" s="29">
        <f t="shared" si="22"/>
        <v>1.4901684370849031</v>
      </c>
      <c r="S39" s="29">
        <f t="shared" si="22"/>
        <v>1.3315136309646589</v>
      </c>
      <c r="T39" s="29">
        <f t="shared" si="22"/>
        <v>1.2919587531758248</v>
      </c>
      <c r="U39" s="29">
        <f t="shared" si="22"/>
        <v>9.020394853932844</v>
      </c>
    </row>
    <row r="40" spans="1:21" x14ac:dyDescent="0.35">
      <c r="A40" s="20" t="s">
        <v>25</v>
      </c>
      <c r="B40" s="29">
        <f t="shared" ref="B40:U40" si="23">(B21-B24)/B30</f>
        <v>1.9546237913702513</v>
      </c>
      <c r="C40" s="29">
        <f t="shared" si="23"/>
        <v>2.0368095201569161</v>
      </c>
      <c r="D40" s="29">
        <f t="shared" si="23"/>
        <v>1.9664136903944123</v>
      </c>
      <c r="E40" s="42">
        <f t="shared" si="23"/>
        <v>1.8742052809124572</v>
      </c>
      <c r="F40" s="29">
        <f t="shared" si="23"/>
        <v>1.9702822656138148</v>
      </c>
      <c r="G40" s="29">
        <f t="shared" si="23"/>
        <v>1.1356347286236068</v>
      </c>
      <c r="H40" s="29">
        <f t="shared" si="23"/>
        <v>1.1464565940167297</v>
      </c>
      <c r="I40" s="29">
        <f t="shared" si="23"/>
        <v>1.1949101646211895</v>
      </c>
      <c r="J40" s="29">
        <f t="shared" si="23"/>
        <v>1.2076065636038695</v>
      </c>
      <c r="K40" s="29">
        <f t="shared" si="23"/>
        <v>1.2554346114612225</v>
      </c>
      <c r="L40" s="29">
        <f t="shared" si="23"/>
        <v>1.3311821443675489</v>
      </c>
      <c r="M40" s="29">
        <f t="shared" si="23"/>
        <v>1.4108607003382334</v>
      </c>
      <c r="N40" s="29">
        <f t="shared" si="23"/>
        <v>1.4560426711579673</v>
      </c>
      <c r="O40" s="29">
        <f t="shared" si="23"/>
        <v>1.4400108422155</v>
      </c>
      <c r="P40" s="29">
        <f t="shared" si="23"/>
        <v>1.4866006242584797</v>
      </c>
      <c r="Q40" s="29">
        <f t="shared" si="23"/>
        <v>1.4713810283658788</v>
      </c>
      <c r="R40" s="29">
        <f t="shared" si="23"/>
        <v>1.4901684370849031</v>
      </c>
      <c r="S40" s="29">
        <f t="shared" si="23"/>
        <v>1.3315136309646589</v>
      </c>
      <c r="T40" s="29">
        <f t="shared" si="23"/>
        <v>1.2919587531758248</v>
      </c>
      <c r="U40" s="29">
        <f t="shared" si="23"/>
        <v>9.020394853932844</v>
      </c>
    </row>
    <row r="44" spans="1:21" hidden="1" x14ac:dyDescent="0.35">
      <c r="A44" t="s">
        <v>32</v>
      </c>
      <c r="E44" s="1">
        <v>10000000</v>
      </c>
    </row>
    <row r="45" spans="1:21" hidden="1" x14ac:dyDescent="0.35">
      <c r="A45" t="s">
        <v>33</v>
      </c>
      <c r="E45" s="1">
        <v>4000000</v>
      </c>
    </row>
    <row r="46" spans="1:21" hidden="1" x14ac:dyDescent="0.35">
      <c r="E46" s="1">
        <f>SUM(E44:E45)</f>
        <v>14000000</v>
      </c>
    </row>
  </sheetData>
  <mergeCells count="1">
    <mergeCell ref="F1:P1"/>
  </mergeCells>
  <pageMargins left="0.25" right="0.25" top="0.89375000000000004" bottom="0.75" header="0.3" footer="0.3"/>
  <pageSetup paperSize="5" scale="60" fitToHeight="0" orientation="landscape" r:id="rId1"/>
  <headerFooter>
    <oddHeader>&amp;LCity of Grand Junction Downtown Development Authority
Tax Increment Debt Service Fund Projection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zoomScaleNormal="100" workbookViewId="0">
      <selection activeCell="C24" sqref="C24"/>
    </sheetView>
  </sheetViews>
  <sheetFormatPr defaultRowHeight="14.5" x14ac:dyDescent="0.35"/>
  <cols>
    <col min="1" max="1" width="27.7265625" customWidth="1"/>
    <col min="2" max="3" width="11.453125" customWidth="1"/>
    <col min="4" max="4" width="11.453125" bestFit="1" customWidth="1"/>
    <col min="6" max="6" width="10.26953125" customWidth="1"/>
    <col min="7" max="8" width="11.453125" customWidth="1"/>
  </cols>
  <sheetData>
    <row r="1" spans="1:4" x14ac:dyDescent="0.35">
      <c r="A1" s="125" t="s">
        <v>57</v>
      </c>
      <c r="B1" s="126"/>
      <c r="C1" s="126"/>
    </row>
    <row r="2" spans="1:4" x14ac:dyDescent="0.35">
      <c r="A2" s="127" t="s">
        <v>47</v>
      </c>
      <c r="B2" s="128"/>
      <c r="C2" s="62"/>
    </row>
    <row r="3" spans="1:4" x14ac:dyDescent="0.35">
      <c r="A3" s="129" t="s">
        <v>38</v>
      </c>
      <c r="B3" s="130"/>
      <c r="C3" s="58">
        <v>1278991</v>
      </c>
    </row>
    <row r="4" spans="1:4" x14ac:dyDescent="0.35">
      <c r="A4" s="123" t="s">
        <v>39</v>
      </c>
      <c r="B4" s="131"/>
      <c r="C4" s="59">
        <v>412867</v>
      </c>
    </row>
    <row r="5" spans="1:4" x14ac:dyDescent="0.35">
      <c r="A5" s="132" t="s">
        <v>40</v>
      </c>
      <c r="B5" s="133"/>
      <c r="C5" s="60">
        <v>17731</v>
      </c>
    </row>
    <row r="6" spans="1:4" x14ac:dyDescent="0.35">
      <c r="A6" s="139" t="s">
        <v>48</v>
      </c>
      <c r="B6" s="140"/>
      <c r="C6" s="61">
        <f t="shared" ref="C6" si="0">SUM(C3:C5)</f>
        <v>1709589</v>
      </c>
    </row>
    <row r="7" spans="1:4" x14ac:dyDescent="0.35">
      <c r="A7" s="129" t="s">
        <v>43</v>
      </c>
      <c r="B7" s="130"/>
      <c r="C7" s="56">
        <v>43006</v>
      </c>
    </row>
    <row r="8" spans="1:4" hidden="1" x14ac:dyDescent="0.35">
      <c r="A8" s="123" t="s">
        <v>49</v>
      </c>
      <c r="B8" s="131"/>
      <c r="C8" s="63">
        <v>43084</v>
      </c>
    </row>
    <row r="9" spans="1:4" x14ac:dyDescent="0.35">
      <c r="A9" s="141" t="s">
        <v>50</v>
      </c>
      <c r="B9" s="142"/>
      <c r="C9" s="56">
        <v>48563</v>
      </c>
    </row>
    <row r="10" spans="1:4" x14ac:dyDescent="0.35">
      <c r="A10" s="134" t="s">
        <v>56</v>
      </c>
      <c r="B10" s="137"/>
      <c r="C10" s="57">
        <f>YEAR(C9)-YEAR(C7)+1</f>
        <v>16</v>
      </c>
    </row>
    <row r="11" spans="1:4" x14ac:dyDescent="0.35">
      <c r="A11" s="134" t="s">
        <v>41</v>
      </c>
      <c r="B11" s="135"/>
      <c r="C11" s="54">
        <f>SUM(D17:D32)</f>
        <v>25522985</v>
      </c>
    </row>
    <row r="12" spans="1:4" x14ac:dyDescent="0.35">
      <c r="A12" s="136" t="s">
        <v>42</v>
      </c>
      <c r="B12" s="137"/>
      <c r="C12" s="54">
        <f>C11/C10</f>
        <v>1595186.5625</v>
      </c>
    </row>
    <row r="13" spans="1:4" x14ac:dyDescent="0.35">
      <c r="A13" s="136" t="s">
        <v>54</v>
      </c>
      <c r="B13" s="137"/>
      <c r="C13" s="65">
        <f>C6/C12</f>
        <v>1.0717172775833235</v>
      </c>
    </row>
    <row r="15" spans="1:4" x14ac:dyDescent="0.35">
      <c r="A15" s="138" t="s">
        <v>53</v>
      </c>
      <c r="B15" s="138"/>
      <c r="C15" s="138"/>
      <c r="D15" s="138"/>
    </row>
    <row r="16" spans="1:4" x14ac:dyDescent="0.35">
      <c r="A16" s="64" t="s">
        <v>52</v>
      </c>
      <c r="B16" s="64" t="s">
        <v>46</v>
      </c>
      <c r="C16" s="64" t="s">
        <v>44</v>
      </c>
      <c r="D16" s="64" t="s">
        <v>45</v>
      </c>
    </row>
    <row r="17" spans="1:4" x14ac:dyDescent="0.35">
      <c r="A17" s="66" t="s">
        <v>55</v>
      </c>
      <c r="B17" s="52">
        <f>908010</f>
        <v>908010</v>
      </c>
      <c r="C17" s="52">
        <v>0</v>
      </c>
      <c r="D17" s="52">
        <f t="shared" ref="D17:D32" si="1">SUM(B17:C17)</f>
        <v>908010</v>
      </c>
    </row>
    <row r="18" spans="1:4" x14ac:dyDescent="0.35">
      <c r="A18" s="50">
        <v>2018</v>
      </c>
      <c r="B18" s="52">
        <v>908555</v>
      </c>
      <c r="C18" s="52">
        <v>732800</v>
      </c>
      <c r="D18" s="52">
        <f t="shared" si="1"/>
        <v>1641355</v>
      </c>
    </row>
    <row r="19" spans="1:4" x14ac:dyDescent="0.35">
      <c r="A19" s="50">
        <v>2019</v>
      </c>
      <c r="B19" s="52">
        <v>911380</v>
      </c>
      <c r="C19" s="52">
        <v>731200</v>
      </c>
      <c r="D19" s="52">
        <f t="shared" si="1"/>
        <v>1642580</v>
      </c>
    </row>
    <row r="20" spans="1:4" x14ac:dyDescent="0.35">
      <c r="A20" s="50">
        <v>2020</v>
      </c>
      <c r="B20" s="52">
        <v>911130</v>
      </c>
      <c r="C20" s="52">
        <v>729400</v>
      </c>
      <c r="D20" s="52">
        <f t="shared" si="1"/>
        <v>1640530</v>
      </c>
    </row>
    <row r="21" spans="1:4" x14ac:dyDescent="0.35">
      <c r="A21" s="50">
        <v>2021</v>
      </c>
      <c r="B21" s="52">
        <v>907665</v>
      </c>
      <c r="C21" s="52">
        <v>732400</v>
      </c>
      <c r="D21" s="52">
        <f t="shared" si="1"/>
        <v>1640065</v>
      </c>
    </row>
    <row r="22" spans="1:4" x14ac:dyDescent="0.35">
      <c r="A22" s="50">
        <v>2022</v>
      </c>
      <c r="B22" s="52">
        <v>910845</v>
      </c>
      <c r="C22" s="52">
        <v>730000</v>
      </c>
      <c r="D22" s="52">
        <f t="shared" si="1"/>
        <v>1640845</v>
      </c>
    </row>
    <row r="23" spans="1:4" x14ac:dyDescent="0.35">
      <c r="A23" s="50">
        <v>2023</v>
      </c>
      <c r="B23" s="52">
        <v>0</v>
      </c>
      <c r="C23" s="52">
        <v>1642400</v>
      </c>
      <c r="D23" s="52">
        <f t="shared" si="1"/>
        <v>1642400</v>
      </c>
    </row>
    <row r="24" spans="1:4" x14ac:dyDescent="0.35">
      <c r="A24" s="50">
        <v>2024</v>
      </c>
      <c r="B24" s="52">
        <v>0</v>
      </c>
      <c r="C24" s="52">
        <v>1643000</v>
      </c>
      <c r="D24" s="52">
        <f t="shared" si="1"/>
        <v>1643000</v>
      </c>
    </row>
    <row r="25" spans="1:4" x14ac:dyDescent="0.35">
      <c r="A25" s="50">
        <v>2025</v>
      </c>
      <c r="B25" s="52">
        <v>0</v>
      </c>
      <c r="C25" s="52">
        <v>1641800</v>
      </c>
      <c r="D25" s="52">
        <f t="shared" si="1"/>
        <v>1641800</v>
      </c>
    </row>
    <row r="26" spans="1:4" x14ac:dyDescent="0.35">
      <c r="A26" s="50">
        <v>2026</v>
      </c>
      <c r="B26" s="52">
        <v>0</v>
      </c>
      <c r="C26" s="52">
        <v>1638800</v>
      </c>
      <c r="D26" s="52">
        <f t="shared" si="1"/>
        <v>1638800</v>
      </c>
    </row>
    <row r="27" spans="1:4" x14ac:dyDescent="0.35">
      <c r="A27" s="50">
        <v>2027</v>
      </c>
      <c r="B27" s="52">
        <v>0</v>
      </c>
      <c r="C27" s="52">
        <v>1639000</v>
      </c>
      <c r="D27" s="52">
        <f t="shared" si="1"/>
        <v>1639000</v>
      </c>
    </row>
    <row r="28" spans="1:4" x14ac:dyDescent="0.35">
      <c r="A28" s="50">
        <v>2028</v>
      </c>
      <c r="B28" s="52">
        <v>0</v>
      </c>
      <c r="C28" s="52">
        <v>1642200</v>
      </c>
      <c r="D28" s="52">
        <f t="shared" si="1"/>
        <v>1642200</v>
      </c>
    </row>
    <row r="29" spans="1:4" x14ac:dyDescent="0.35">
      <c r="A29" s="50">
        <v>2029</v>
      </c>
      <c r="B29" s="52">
        <v>0</v>
      </c>
      <c r="C29" s="52">
        <v>1638200</v>
      </c>
      <c r="D29" s="52">
        <f t="shared" si="1"/>
        <v>1638200</v>
      </c>
    </row>
    <row r="30" spans="1:4" x14ac:dyDescent="0.35">
      <c r="A30" s="50">
        <v>2030</v>
      </c>
      <c r="B30" s="52">
        <v>0</v>
      </c>
      <c r="C30" s="52">
        <v>1642200</v>
      </c>
      <c r="D30" s="52">
        <f t="shared" si="1"/>
        <v>1642200</v>
      </c>
    </row>
    <row r="31" spans="1:4" x14ac:dyDescent="0.35">
      <c r="A31" s="50">
        <v>2031</v>
      </c>
      <c r="B31" s="52">
        <v>0</v>
      </c>
      <c r="C31" s="52">
        <v>1638800</v>
      </c>
      <c r="D31" s="52">
        <f t="shared" si="1"/>
        <v>1638800</v>
      </c>
    </row>
    <row r="32" spans="1:4" x14ac:dyDescent="0.35">
      <c r="A32" s="50">
        <v>2032</v>
      </c>
      <c r="B32" s="52">
        <v>0</v>
      </c>
      <c r="C32" s="52">
        <v>1643200</v>
      </c>
      <c r="D32" s="52">
        <f t="shared" si="1"/>
        <v>1643200</v>
      </c>
    </row>
    <row r="33" spans="1:4" x14ac:dyDescent="0.35">
      <c r="A33" s="55" t="s">
        <v>45</v>
      </c>
      <c r="B33" s="54">
        <f>SUM(B17:B32)</f>
        <v>5457585</v>
      </c>
      <c r="C33" s="53">
        <f>SUM(C17:C32)</f>
        <v>20065400</v>
      </c>
      <c r="D33" s="54">
        <f>SUM(D17:D32)</f>
        <v>25522985</v>
      </c>
    </row>
    <row r="35" spans="1:4" x14ac:dyDescent="0.35">
      <c r="A35" s="51"/>
      <c r="B35" s="51"/>
    </row>
  </sheetData>
  <mergeCells count="14">
    <mergeCell ref="A11:B11"/>
    <mergeCell ref="A12:B12"/>
    <mergeCell ref="A15:D15"/>
    <mergeCell ref="A13:B13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ageMargins left="0.25" right="0.25" top="0.89375000000000004" bottom="0.75" header="0.3" footer="0.3"/>
  <pageSetup paperSize="5" scale="71" fitToHeight="0" orientation="landscape" r:id="rId1"/>
  <headerFooter>
    <oddHeader>&amp;LCity of Grand Junction Downtown Development Authority
Tax Increment Debt Service Fund Projection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zoomScaleNormal="100" workbookViewId="0">
      <selection activeCell="D13" sqref="D13"/>
    </sheetView>
  </sheetViews>
  <sheetFormatPr defaultRowHeight="14.5" x14ac:dyDescent="0.35"/>
  <cols>
    <col min="1" max="1" width="27.7265625" customWidth="1"/>
    <col min="2" max="4" width="12.7265625" customWidth="1"/>
    <col min="6" max="6" width="10.26953125" customWidth="1"/>
    <col min="7" max="8" width="11.453125" customWidth="1"/>
  </cols>
  <sheetData>
    <row r="1" spans="1:4" x14ac:dyDescent="0.35">
      <c r="A1" s="143" t="s">
        <v>60</v>
      </c>
      <c r="B1" s="144"/>
      <c r="C1" s="145"/>
    </row>
    <row r="2" spans="1:4" x14ac:dyDescent="0.35">
      <c r="A2" s="127" t="s">
        <v>47</v>
      </c>
      <c r="B2" s="128"/>
      <c r="C2" s="62"/>
    </row>
    <row r="3" spans="1:4" x14ac:dyDescent="0.35">
      <c r="A3" s="129" t="s">
        <v>38</v>
      </c>
      <c r="B3" s="130"/>
      <c r="C3" s="58">
        <v>1278991</v>
      </c>
    </row>
    <row r="4" spans="1:4" x14ac:dyDescent="0.35">
      <c r="A4" s="123" t="s">
        <v>67</v>
      </c>
      <c r="B4" s="131"/>
      <c r="C4" s="59">
        <v>412867</v>
      </c>
    </row>
    <row r="5" spans="1:4" x14ac:dyDescent="0.35">
      <c r="A5" s="132" t="s">
        <v>40</v>
      </c>
      <c r="B5" s="133"/>
      <c r="C5" s="60">
        <v>17731</v>
      </c>
    </row>
    <row r="6" spans="1:4" x14ac:dyDescent="0.35">
      <c r="A6" s="139" t="s">
        <v>48</v>
      </c>
      <c r="B6" s="140"/>
      <c r="C6" s="61">
        <f t="shared" ref="C6" si="0">SUM(C3:C5)</f>
        <v>1709589</v>
      </c>
    </row>
    <row r="7" spans="1:4" x14ac:dyDescent="0.35">
      <c r="A7" s="129" t="s">
        <v>43</v>
      </c>
      <c r="B7" s="130"/>
      <c r="C7" s="56">
        <v>43006</v>
      </c>
    </row>
    <row r="8" spans="1:4" hidden="1" x14ac:dyDescent="0.35">
      <c r="A8" s="123" t="s">
        <v>49</v>
      </c>
      <c r="B8" s="131"/>
      <c r="C8" s="63">
        <v>43084</v>
      </c>
    </row>
    <row r="9" spans="1:4" x14ac:dyDescent="0.35">
      <c r="A9" s="141" t="s">
        <v>50</v>
      </c>
      <c r="B9" s="142"/>
      <c r="C9" s="56">
        <v>48563</v>
      </c>
    </row>
    <row r="10" spans="1:4" x14ac:dyDescent="0.35">
      <c r="A10" s="134" t="s">
        <v>62</v>
      </c>
      <c r="B10" s="137"/>
      <c r="C10" s="57">
        <f>DAYS360(C7,C9)/360</f>
        <v>15.213888888888889</v>
      </c>
    </row>
    <row r="11" spans="1:4" x14ac:dyDescent="0.35">
      <c r="A11" s="134" t="s">
        <v>41</v>
      </c>
      <c r="B11" s="135"/>
      <c r="C11" s="54">
        <f>SUM(D17:D32)</f>
        <v>25383049.361111112</v>
      </c>
    </row>
    <row r="12" spans="1:4" x14ac:dyDescent="0.35">
      <c r="A12" s="136" t="s">
        <v>42</v>
      </c>
      <c r="B12" s="137"/>
      <c r="C12" s="54">
        <f>C11/C10</f>
        <v>1668412.9578236262</v>
      </c>
    </row>
    <row r="13" spans="1:4" x14ac:dyDescent="0.35">
      <c r="A13" s="136" t="s">
        <v>54</v>
      </c>
      <c r="B13" s="137"/>
      <c r="C13" s="65">
        <f>C6/C12</f>
        <v>1.0246797664710576</v>
      </c>
    </row>
    <row r="15" spans="1:4" x14ac:dyDescent="0.35">
      <c r="A15" s="138" t="s">
        <v>53</v>
      </c>
      <c r="B15" s="138"/>
      <c r="C15" s="138"/>
      <c r="D15" s="138"/>
    </row>
    <row r="16" spans="1:4" x14ac:dyDescent="0.35">
      <c r="A16" s="64" t="s">
        <v>52</v>
      </c>
      <c r="B16" s="64" t="s">
        <v>46</v>
      </c>
      <c r="C16" s="64" t="s">
        <v>44</v>
      </c>
      <c r="D16" s="64" t="s">
        <v>45</v>
      </c>
    </row>
    <row r="17" spans="1:4" x14ac:dyDescent="0.35">
      <c r="A17" s="66" t="s">
        <v>51</v>
      </c>
      <c r="B17" s="52">
        <f>(908010-730000)/2*DAYS360(C7,C8)/180+730000</f>
        <v>768074.36111111112</v>
      </c>
      <c r="C17" s="52">
        <v>0</v>
      </c>
      <c r="D17" s="52">
        <f t="shared" ref="D17:D32" si="1">SUM(B17:C17)</f>
        <v>768074.36111111112</v>
      </c>
    </row>
    <row r="18" spans="1:4" x14ac:dyDescent="0.35">
      <c r="A18" s="50">
        <v>2018</v>
      </c>
      <c r="B18" s="52">
        <v>908555</v>
      </c>
      <c r="C18" s="52">
        <v>732800</v>
      </c>
      <c r="D18" s="52">
        <f t="shared" si="1"/>
        <v>1641355</v>
      </c>
    </row>
    <row r="19" spans="1:4" x14ac:dyDescent="0.35">
      <c r="A19" s="50">
        <v>2019</v>
      </c>
      <c r="B19" s="52">
        <v>911380</v>
      </c>
      <c r="C19" s="52">
        <v>731200</v>
      </c>
      <c r="D19" s="52">
        <f t="shared" si="1"/>
        <v>1642580</v>
      </c>
    </row>
    <row r="20" spans="1:4" x14ac:dyDescent="0.35">
      <c r="A20" s="50">
        <v>2020</v>
      </c>
      <c r="B20" s="52">
        <v>911130</v>
      </c>
      <c r="C20" s="52">
        <v>729400</v>
      </c>
      <c r="D20" s="52">
        <f t="shared" si="1"/>
        <v>1640530</v>
      </c>
    </row>
    <row r="21" spans="1:4" x14ac:dyDescent="0.35">
      <c r="A21" s="50">
        <v>2021</v>
      </c>
      <c r="B21" s="52">
        <v>907665</v>
      </c>
      <c r="C21" s="52">
        <v>732400</v>
      </c>
      <c r="D21" s="52">
        <f t="shared" si="1"/>
        <v>1640065</v>
      </c>
    </row>
    <row r="22" spans="1:4" x14ac:dyDescent="0.35">
      <c r="A22" s="50">
        <v>2022</v>
      </c>
      <c r="B22" s="52">
        <v>910845</v>
      </c>
      <c r="C22" s="52">
        <v>730000</v>
      </c>
      <c r="D22" s="52">
        <f t="shared" si="1"/>
        <v>1640845</v>
      </c>
    </row>
    <row r="23" spans="1:4" x14ac:dyDescent="0.35">
      <c r="A23" s="50">
        <v>2023</v>
      </c>
      <c r="B23" s="52">
        <v>0</v>
      </c>
      <c r="C23" s="52">
        <v>1642400</v>
      </c>
      <c r="D23" s="52">
        <f t="shared" si="1"/>
        <v>1642400</v>
      </c>
    </row>
    <row r="24" spans="1:4" x14ac:dyDescent="0.35">
      <c r="A24" s="50">
        <v>2024</v>
      </c>
      <c r="B24" s="52">
        <v>0</v>
      </c>
      <c r="C24" s="52">
        <v>1643000</v>
      </c>
      <c r="D24" s="52">
        <f t="shared" si="1"/>
        <v>1643000</v>
      </c>
    </row>
    <row r="25" spans="1:4" x14ac:dyDescent="0.35">
      <c r="A25" s="50">
        <v>2025</v>
      </c>
      <c r="B25" s="52">
        <v>0</v>
      </c>
      <c r="C25" s="52">
        <v>1641800</v>
      </c>
      <c r="D25" s="52">
        <f t="shared" si="1"/>
        <v>1641800</v>
      </c>
    </row>
    <row r="26" spans="1:4" x14ac:dyDescent="0.35">
      <c r="A26" s="50">
        <v>2026</v>
      </c>
      <c r="B26" s="52">
        <v>0</v>
      </c>
      <c r="C26" s="52">
        <v>1638800</v>
      </c>
      <c r="D26" s="52">
        <f t="shared" si="1"/>
        <v>1638800</v>
      </c>
    </row>
    <row r="27" spans="1:4" x14ac:dyDescent="0.35">
      <c r="A27" s="50">
        <v>2027</v>
      </c>
      <c r="B27" s="52">
        <v>0</v>
      </c>
      <c r="C27" s="52">
        <v>1639000</v>
      </c>
      <c r="D27" s="52">
        <f t="shared" si="1"/>
        <v>1639000</v>
      </c>
    </row>
    <row r="28" spans="1:4" x14ac:dyDescent="0.35">
      <c r="A28" s="50">
        <v>2028</v>
      </c>
      <c r="B28" s="52">
        <v>0</v>
      </c>
      <c r="C28" s="52">
        <v>1642200</v>
      </c>
      <c r="D28" s="52">
        <f t="shared" si="1"/>
        <v>1642200</v>
      </c>
    </row>
    <row r="29" spans="1:4" x14ac:dyDescent="0.35">
      <c r="A29" s="50">
        <v>2029</v>
      </c>
      <c r="B29" s="52">
        <v>0</v>
      </c>
      <c r="C29" s="52">
        <v>1638200</v>
      </c>
      <c r="D29" s="52">
        <f t="shared" si="1"/>
        <v>1638200</v>
      </c>
    </row>
    <row r="30" spans="1:4" x14ac:dyDescent="0.35">
      <c r="A30" s="50">
        <v>2030</v>
      </c>
      <c r="B30" s="52">
        <v>0</v>
      </c>
      <c r="C30" s="52">
        <v>1642200</v>
      </c>
      <c r="D30" s="52">
        <f t="shared" si="1"/>
        <v>1642200</v>
      </c>
    </row>
    <row r="31" spans="1:4" x14ac:dyDescent="0.35">
      <c r="A31" s="50">
        <v>2031</v>
      </c>
      <c r="B31" s="52">
        <v>0</v>
      </c>
      <c r="C31" s="52">
        <v>1638800</v>
      </c>
      <c r="D31" s="52">
        <f t="shared" si="1"/>
        <v>1638800</v>
      </c>
    </row>
    <row r="32" spans="1:4" x14ac:dyDescent="0.35">
      <c r="A32" s="50">
        <v>2032</v>
      </c>
      <c r="B32" s="52">
        <v>0</v>
      </c>
      <c r="C32" s="52">
        <v>1643200</v>
      </c>
      <c r="D32" s="52">
        <f t="shared" si="1"/>
        <v>1643200</v>
      </c>
    </row>
    <row r="33" spans="1:4" x14ac:dyDescent="0.35">
      <c r="A33" s="55" t="s">
        <v>45</v>
      </c>
      <c r="B33" s="54">
        <f>SUM(B17:B32)</f>
        <v>5317649.361111111</v>
      </c>
      <c r="C33" s="74">
        <f>SUM(C17:C32)</f>
        <v>20065400</v>
      </c>
      <c r="D33" s="54">
        <f>SUM(D17:D32)</f>
        <v>25383049.361111112</v>
      </c>
    </row>
    <row r="35" spans="1:4" x14ac:dyDescent="0.35">
      <c r="A35" s="51" t="s">
        <v>61</v>
      </c>
      <c r="B35" s="51"/>
    </row>
  </sheetData>
  <mergeCells count="14">
    <mergeCell ref="A13:B13"/>
    <mergeCell ref="A15:D15"/>
    <mergeCell ref="A7:B7"/>
    <mergeCell ref="A8:B8"/>
    <mergeCell ref="A9:B9"/>
    <mergeCell ref="A10:B10"/>
    <mergeCell ref="A11:B11"/>
    <mergeCell ref="A12:B12"/>
    <mergeCell ref="A6:B6"/>
    <mergeCell ref="A1:C1"/>
    <mergeCell ref="A2:B2"/>
    <mergeCell ref="A3:B3"/>
    <mergeCell ref="A4:B4"/>
    <mergeCell ref="A5:B5"/>
  </mergeCells>
  <pageMargins left="0.25" right="0.25" top="1" bottom="0.75" header="0.3" footer="0.3"/>
  <pageSetup scale="98" orientation="landscape" r:id="rId1"/>
  <headerFooter>
    <oddHeader>&amp;LCity of Grand Junction Downtown Development Authority
Tax Increment Revenue Bonds, Series 2017
Additional Bonds Test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1" sqref="F21"/>
    </sheetView>
  </sheetViews>
  <sheetFormatPr defaultRowHeight="14.5" x14ac:dyDescent="0.35"/>
  <cols>
    <col min="1" max="2" width="9.453125" customWidth="1"/>
    <col min="3" max="5" width="12.453125" customWidth="1"/>
    <col min="6" max="6" width="13.81640625" customWidth="1"/>
    <col min="7" max="18" width="11.26953125" customWidth="1"/>
    <col min="19" max="19" width="13.7265625" customWidth="1"/>
    <col min="20" max="25" width="12.453125" customWidth="1"/>
  </cols>
  <sheetData>
    <row r="1" spans="1:19" ht="72.5" x14ac:dyDescent="0.35">
      <c r="A1" s="97" t="s">
        <v>0</v>
      </c>
      <c r="B1" s="98" t="s">
        <v>80</v>
      </c>
      <c r="C1" s="99" t="s">
        <v>68</v>
      </c>
      <c r="D1" s="100" t="s">
        <v>72</v>
      </c>
      <c r="E1" s="100" t="s">
        <v>90</v>
      </c>
      <c r="F1" s="100" t="s">
        <v>71</v>
      </c>
      <c r="G1" s="100" t="s">
        <v>70</v>
      </c>
      <c r="H1" s="99" t="s">
        <v>69</v>
      </c>
      <c r="I1" s="100" t="s">
        <v>73</v>
      </c>
      <c r="J1" s="100" t="s">
        <v>76</v>
      </c>
      <c r="K1" s="99" t="s">
        <v>79</v>
      </c>
      <c r="L1" s="100" t="s">
        <v>77</v>
      </c>
      <c r="M1" s="99" t="s">
        <v>74</v>
      </c>
      <c r="N1" s="100" t="s">
        <v>75</v>
      </c>
      <c r="O1" s="100" t="s">
        <v>86</v>
      </c>
      <c r="P1" s="100" t="s">
        <v>78</v>
      </c>
      <c r="Q1" s="100" t="s">
        <v>87</v>
      </c>
      <c r="R1" s="100" t="s">
        <v>88</v>
      </c>
      <c r="S1" s="98" t="s">
        <v>91</v>
      </c>
    </row>
    <row r="2" spans="1:19" x14ac:dyDescent="0.35">
      <c r="A2" s="101">
        <v>1992</v>
      </c>
      <c r="B2" s="88">
        <v>1982</v>
      </c>
      <c r="C2" s="92">
        <v>14124082</v>
      </c>
      <c r="D2" s="102"/>
      <c r="E2" s="102"/>
      <c r="F2" s="92">
        <v>533212</v>
      </c>
      <c r="G2" s="92">
        <v>0</v>
      </c>
      <c r="H2" s="92">
        <f t="shared" ref="H2:H26" si="0">C2-F2-G2</f>
        <v>13590870</v>
      </c>
      <c r="I2" s="92">
        <f>-(H2*M2)</f>
        <v>-12192744.242543854</v>
      </c>
      <c r="J2" s="92">
        <f t="shared" ref="J2:J32" si="1">H2+I2</f>
        <v>1398125.7574561462</v>
      </c>
      <c r="K2" s="92">
        <f t="shared" ref="K2:K15" si="2">F2+J2</f>
        <v>1931337.7574561462</v>
      </c>
      <c r="L2" s="92">
        <f t="shared" ref="L2:L15" si="3">C2-K2</f>
        <v>12192744.242543854</v>
      </c>
      <c r="M2" s="68">
        <v>0.89712757480160243</v>
      </c>
      <c r="N2" s="68">
        <v>0.10287242519839757</v>
      </c>
      <c r="O2" s="103"/>
      <c r="P2" s="92">
        <f t="shared" ref="P2:P42" si="4">L2-G2</f>
        <v>12192744.242543854</v>
      </c>
      <c r="Q2" s="92"/>
      <c r="R2" s="103"/>
      <c r="S2" s="104"/>
    </row>
    <row r="3" spans="1:19" x14ac:dyDescent="0.35">
      <c r="A3" s="101">
        <f t="shared" ref="A3:A22" si="5">A2+1</f>
        <v>1993</v>
      </c>
      <c r="B3" s="88">
        <v>1982</v>
      </c>
      <c r="C3" s="92">
        <v>13370780</v>
      </c>
      <c r="D3" s="102"/>
      <c r="E3" s="102"/>
      <c r="F3" s="92">
        <v>668</v>
      </c>
      <c r="G3" s="92">
        <v>0</v>
      </c>
      <c r="H3" s="92">
        <f t="shared" si="0"/>
        <v>13370112</v>
      </c>
      <c r="I3" s="92">
        <f>-(H3*M3)</f>
        <v>-11542417.6896</v>
      </c>
      <c r="J3" s="92">
        <f t="shared" si="1"/>
        <v>1827694.3103999998</v>
      </c>
      <c r="K3" s="92">
        <f t="shared" si="2"/>
        <v>1828362.3103999998</v>
      </c>
      <c r="L3" s="92">
        <f t="shared" si="3"/>
        <v>11542417.6896</v>
      </c>
      <c r="M3" s="68">
        <f>ROUND(L2/C2,4)</f>
        <v>0.86329999999999996</v>
      </c>
      <c r="N3" s="68">
        <f t="shared" ref="N3:N42" si="6">1-M3</f>
        <v>0.13670000000000004</v>
      </c>
      <c r="O3" s="103"/>
      <c r="P3" s="92">
        <f t="shared" si="4"/>
        <v>11542417.6896</v>
      </c>
      <c r="Q3" s="92"/>
      <c r="R3" s="103"/>
      <c r="S3" s="104"/>
    </row>
    <row r="4" spans="1:19" x14ac:dyDescent="0.35">
      <c r="A4" s="101">
        <f t="shared" si="5"/>
        <v>1994</v>
      </c>
      <c r="B4" s="88">
        <v>1982</v>
      </c>
      <c r="C4" s="92">
        <v>13292330</v>
      </c>
      <c r="D4" s="102"/>
      <c r="E4" s="102"/>
      <c r="F4" s="92">
        <v>139516</v>
      </c>
      <c r="G4" s="92">
        <v>0</v>
      </c>
      <c r="H4" s="92">
        <f t="shared" si="0"/>
        <v>13152814</v>
      </c>
      <c r="I4" s="92">
        <f>-(H4*M4)</f>
        <v>-11354824.326199999</v>
      </c>
      <c r="J4" s="92">
        <f t="shared" si="1"/>
        <v>1797989.6738000009</v>
      </c>
      <c r="K4" s="92">
        <f t="shared" si="2"/>
        <v>1937505.6738000009</v>
      </c>
      <c r="L4" s="92">
        <f t="shared" si="3"/>
        <v>11354824.326199999</v>
      </c>
      <c r="M4" s="68">
        <f>ROUND(L3/C3,4)</f>
        <v>0.86329999999999996</v>
      </c>
      <c r="N4" s="68">
        <f t="shared" si="6"/>
        <v>0.13670000000000004</v>
      </c>
      <c r="O4" s="103"/>
      <c r="P4" s="92">
        <f t="shared" si="4"/>
        <v>11354824.326199999</v>
      </c>
      <c r="Q4" s="92"/>
      <c r="R4" s="103"/>
      <c r="S4" s="104"/>
    </row>
    <row r="5" spans="1:19" x14ac:dyDescent="0.35">
      <c r="A5" s="101">
        <f t="shared" si="5"/>
        <v>1995</v>
      </c>
      <c r="B5" s="88">
        <v>1982</v>
      </c>
      <c r="C5" s="92">
        <v>12815956</v>
      </c>
      <c r="D5" s="102"/>
      <c r="E5" s="102"/>
      <c r="F5" s="92">
        <v>48260</v>
      </c>
      <c r="G5" s="92">
        <v>0</v>
      </c>
      <c r="H5" s="92">
        <f t="shared" si="0"/>
        <v>12767696</v>
      </c>
      <c r="I5" s="92">
        <f>-ROUNDDOWN(H5*M5,0)</f>
        <v>-10906661</v>
      </c>
      <c r="J5" s="92">
        <f t="shared" si="1"/>
        <v>1861035</v>
      </c>
      <c r="K5" s="92">
        <f t="shared" si="2"/>
        <v>1909295</v>
      </c>
      <c r="L5" s="92">
        <f t="shared" si="3"/>
        <v>10906661</v>
      </c>
      <c r="M5" s="68">
        <f t="shared" ref="M5:M22" si="7">L4/C4</f>
        <v>0.85423882240359661</v>
      </c>
      <c r="N5" s="68">
        <f t="shared" si="6"/>
        <v>0.14576117759640339</v>
      </c>
      <c r="O5" s="103"/>
      <c r="P5" s="92">
        <f t="shared" si="4"/>
        <v>10906661</v>
      </c>
      <c r="Q5" s="92"/>
      <c r="R5" s="103"/>
      <c r="S5" s="104"/>
    </row>
    <row r="6" spans="1:19" x14ac:dyDescent="0.35">
      <c r="A6" s="101">
        <f t="shared" si="5"/>
        <v>1996</v>
      </c>
      <c r="B6" s="88">
        <v>1982</v>
      </c>
      <c r="C6" s="92">
        <v>13668290</v>
      </c>
      <c r="D6" s="102"/>
      <c r="E6" s="102"/>
      <c r="F6" s="92">
        <v>501350</v>
      </c>
      <c r="G6" s="92">
        <v>0</v>
      </c>
      <c r="H6" s="92">
        <f t="shared" si="0"/>
        <v>13166940</v>
      </c>
      <c r="I6" s="92">
        <f>-(H6*M6)</f>
        <v>-11205356.119148662</v>
      </c>
      <c r="J6" s="92">
        <f t="shared" si="1"/>
        <v>1961583.8808513377</v>
      </c>
      <c r="K6" s="92">
        <f t="shared" si="2"/>
        <v>2462933.8808513377</v>
      </c>
      <c r="L6" s="92">
        <f t="shared" si="3"/>
        <v>11205356.119148662</v>
      </c>
      <c r="M6" s="68">
        <f t="shared" si="7"/>
        <v>0.85102203846517577</v>
      </c>
      <c r="N6" s="68">
        <f t="shared" si="6"/>
        <v>0.14897796153482423</v>
      </c>
      <c r="O6" s="103"/>
      <c r="P6" s="105">
        <f t="shared" si="4"/>
        <v>11205356.119148662</v>
      </c>
      <c r="Q6" s="92"/>
      <c r="R6" s="103"/>
      <c r="S6" s="104"/>
    </row>
    <row r="7" spans="1:19" x14ac:dyDescent="0.35">
      <c r="A7" s="101">
        <f t="shared" si="5"/>
        <v>1997</v>
      </c>
      <c r="B7" s="88">
        <v>1982</v>
      </c>
      <c r="C7" s="92">
        <v>24650580</v>
      </c>
      <c r="D7" s="102"/>
      <c r="E7" s="102"/>
      <c r="F7" s="92">
        <v>760160</v>
      </c>
      <c r="G7" s="92">
        <v>11465240</v>
      </c>
      <c r="H7" s="92">
        <f t="shared" si="0"/>
        <v>12425180</v>
      </c>
      <c r="I7" s="92">
        <f>-(H7*M7)</f>
        <v>-10186246.17596814</v>
      </c>
      <c r="J7" s="92">
        <f t="shared" si="1"/>
        <v>2238933.8240318596</v>
      </c>
      <c r="K7" s="92">
        <f t="shared" si="2"/>
        <v>2999093.8240318596</v>
      </c>
      <c r="L7" s="92">
        <f t="shared" si="3"/>
        <v>21651486.17596814</v>
      </c>
      <c r="M7" s="68">
        <f t="shared" si="7"/>
        <v>0.81980672923596609</v>
      </c>
      <c r="N7" s="68">
        <f t="shared" si="6"/>
        <v>0.18019327076403391</v>
      </c>
      <c r="O7" s="103"/>
      <c r="P7" s="105">
        <f t="shared" si="4"/>
        <v>10186246.17596814</v>
      </c>
      <c r="Q7" s="92"/>
      <c r="R7" s="103"/>
      <c r="S7" s="104"/>
    </row>
    <row r="8" spans="1:19" x14ac:dyDescent="0.35">
      <c r="A8" s="101">
        <f t="shared" si="5"/>
        <v>1998</v>
      </c>
      <c r="B8" s="88">
        <v>1982</v>
      </c>
      <c r="C8" s="92">
        <v>26709570</v>
      </c>
      <c r="D8" s="102"/>
      <c r="E8" s="102"/>
      <c r="F8" s="92">
        <v>628260</v>
      </c>
      <c r="G8" s="92">
        <v>589550</v>
      </c>
      <c r="H8" s="92">
        <f t="shared" si="0"/>
        <v>25491760</v>
      </c>
      <c r="I8" s="92">
        <f>-(H8*M8)</f>
        <v>-22390324.659342606</v>
      </c>
      <c r="J8" s="92">
        <f t="shared" si="1"/>
        <v>3101435.3406573944</v>
      </c>
      <c r="K8" s="92">
        <f t="shared" si="2"/>
        <v>3729695.3406573944</v>
      </c>
      <c r="L8" s="92">
        <f t="shared" si="3"/>
        <v>22979874.659342606</v>
      </c>
      <c r="M8" s="68">
        <f t="shared" si="7"/>
        <v>0.87833577043494071</v>
      </c>
      <c r="N8" s="68">
        <f t="shared" si="6"/>
        <v>0.12166422956505929</v>
      </c>
      <c r="O8" s="103"/>
      <c r="P8" s="105">
        <f t="shared" si="4"/>
        <v>22390324.659342606</v>
      </c>
      <c r="Q8" s="92"/>
      <c r="R8" s="103"/>
      <c r="S8" s="104"/>
    </row>
    <row r="9" spans="1:19" x14ac:dyDescent="0.35">
      <c r="A9" s="101">
        <f t="shared" si="5"/>
        <v>1999</v>
      </c>
      <c r="B9" s="88">
        <v>1982</v>
      </c>
      <c r="C9" s="92">
        <v>26359210</v>
      </c>
      <c r="D9" s="102"/>
      <c r="E9" s="102"/>
      <c r="F9" s="92">
        <v>629556</v>
      </c>
      <c r="G9" s="92">
        <v>0</v>
      </c>
      <c r="H9" s="92">
        <f t="shared" si="0"/>
        <v>25729654</v>
      </c>
      <c r="I9" s="92">
        <f>-(H9*M9)</f>
        <v>-22136793.065116853</v>
      </c>
      <c r="J9" s="92">
        <f t="shared" si="1"/>
        <v>3592860.9348831475</v>
      </c>
      <c r="K9" s="92">
        <f t="shared" si="2"/>
        <v>4222416.9348831475</v>
      </c>
      <c r="L9" s="92">
        <f t="shared" si="3"/>
        <v>22136793.065116853</v>
      </c>
      <c r="M9" s="68">
        <f t="shared" si="7"/>
        <v>0.86036108628265473</v>
      </c>
      <c r="N9" s="68">
        <f t="shared" si="6"/>
        <v>0.13963891371734527</v>
      </c>
      <c r="O9" s="103"/>
      <c r="P9" s="105">
        <f t="shared" si="4"/>
        <v>22136793.065116853</v>
      </c>
      <c r="Q9" s="92"/>
      <c r="R9" s="103"/>
      <c r="S9" s="104"/>
    </row>
    <row r="10" spans="1:19" x14ac:dyDescent="0.35">
      <c r="A10" s="101">
        <f t="shared" si="5"/>
        <v>2000</v>
      </c>
      <c r="B10" s="88">
        <v>1982</v>
      </c>
      <c r="C10" s="92">
        <v>30236420</v>
      </c>
      <c r="D10" s="102"/>
      <c r="E10" s="102"/>
      <c r="F10" s="92">
        <v>706420</v>
      </c>
      <c r="G10" s="92">
        <v>0</v>
      </c>
      <c r="H10" s="92">
        <f t="shared" si="0"/>
        <v>29530000</v>
      </c>
      <c r="I10" s="92">
        <f>-(H10*M10)</f>
        <v>-24799662.023744289</v>
      </c>
      <c r="J10" s="92">
        <f t="shared" si="1"/>
        <v>4730337.9762557112</v>
      </c>
      <c r="K10" s="92">
        <f t="shared" si="2"/>
        <v>5436757.9762557112</v>
      </c>
      <c r="L10" s="92">
        <f t="shared" si="3"/>
        <v>24799662.023744289</v>
      </c>
      <c r="M10" s="68">
        <f t="shared" si="7"/>
        <v>0.83981246270722276</v>
      </c>
      <c r="N10" s="68">
        <f t="shared" si="6"/>
        <v>0.16018753729277724</v>
      </c>
      <c r="O10" s="103"/>
      <c r="P10" s="105">
        <f t="shared" si="4"/>
        <v>24799662.023744289</v>
      </c>
      <c r="Q10" s="92"/>
      <c r="R10" s="103"/>
      <c r="S10" s="104"/>
    </row>
    <row r="11" spans="1:19" x14ac:dyDescent="0.35">
      <c r="A11" s="101">
        <f t="shared" si="5"/>
        <v>2001</v>
      </c>
      <c r="B11" s="88">
        <v>1982</v>
      </c>
      <c r="C11" s="92">
        <v>30872560</v>
      </c>
      <c r="D11" s="102"/>
      <c r="E11" s="102"/>
      <c r="F11" s="92">
        <v>0</v>
      </c>
      <c r="G11" s="92">
        <v>0</v>
      </c>
      <c r="H11" s="92">
        <f t="shared" si="0"/>
        <v>30872560</v>
      </c>
      <c r="I11" s="92">
        <v>-24742780</v>
      </c>
      <c r="J11" s="92">
        <f t="shared" si="1"/>
        <v>6129780</v>
      </c>
      <c r="K11" s="92">
        <f t="shared" si="2"/>
        <v>6129780</v>
      </c>
      <c r="L11" s="92">
        <f t="shared" si="3"/>
        <v>24742780</v>
      </c>
      <c r="M11" s="68">
        <f t="shared" si="7"/>
        <v>0.8201917430616551</v>
      </c>
      <c r="N11" s="68">
        <f t="shared" si="6"/>
        <v>0.1798082569383449</v>
      </c>
      <c r="O11" s="103"/>
      <c r="P11" s="105">
        <f t="shared" si="4"/>
        <v>24742780</v>
      </c>
      <c r="Q11" s="92"/>
      <c r="R11" s="103"/>
      <c r="S11" s="104"/>
    </row>
    <row r="12" spans="1:19" x14ac:dyDescent="0.35">
      <c r="A12" s="101">
        <f t="shared" si="5"/>
        <v>2002</v>
      </c>
      <c r="B12" s="88">
        <v>1982</v>
      </c>
      <c r="C12" s="92">
        <v>33055890</v>
      </c>
      <c r="D12" s="102"/>
      <c r="E12" s="102"/>
      <c r="F12" s="92">
        <v>1612860</v>
      </c>
      <c r="G12" s="92">
        <v>0</v>
      </c>
      <c r="H12" s="92">
        <f t="shared" si="0"/>
        <v>31443030</v>
      </c>
      <c r="I12" s="92">
        <v>-25209046</v>
      </c>
      <c r="J12" s="92">
        <f t="shared" si="1"/>
        <v>6233984</v>
      </c>
      <c r="K12" s="92">
        <f t="shared" si="2"/>
        <v>7846844</v>
      </c>
      <c r="L12" s="92">
        <f t="shared" si="3"/>
        <v>25209046</v>
      </c>
      <c r="M12" s="68">
        <f t="shared" si="7"/>
        <v>0.80144892422267544</v>
      </c>
      <c r="N12" s="68">
        <f t="shared" si="6"/>
        <v>0.19855107577732456</v>
      </c>
      <c r="O12" s="103"/>
      <c r="P12" s="105">
        <f t="shared" si="4"/>
        <v>25209046</v>
      </c>
      <c r="Q12" s="92"/>
      <c r="R12" s="103"/>
      <c r="S12" s="104"/>
    </row>
    <row r="13" spans="1:19" x14ac:dyDescent="0.35">
      <c r="A13" s="101">
        <f t="shared" si="5"/>
        <v>2003</v>
      </c>
      <c r="B13" s="88">
        <v>1982</v>
      </c>
      <c r="C13" s="92">
        <v>37656830</v>
      </c>
      <c r="D13" s="102"/>
      <c r="E13" s="102"/>
      <c r="F13" s="92">
        <v>0</v>
      </c>
      <c r="G13" s="92">
        <v>0</v>
      </c>
      <c r="H13" s="92">
        <f t="shared" si="0"/>
        <v>37656830</v>
      </c>
      <c r="I13" s="92">
        <v>-26595720</v>
      </c>
      <c r="J13" s="92">
        <f t="shared" si="1"/>
        <v>11061110</v>
      </c>
      <c r="K13" s="92">
        <f t="shared" si="2"/>
        <v>11061110</v>
      </c>
      <c r="L13" s="92">
        <f t="shared" si="3"/>
        <v>26595720</v>
      </c>
      <c r="M13" s="68">
        <f t="shared" si="7"/>
        <v>0.76261888577194559</v>
      </c>
      <c r="N13" s="68">
        <f t="shared" si="6"/>
        <v>0.23738111422805441</v>
      </c>
      <c r="O13" s="103"/>
      <c r="P13" s="105">
        <f t="shared" si="4"/>
        <v>26595720</v>
      </c>
      <c r="Q13" s="92"/>
      <c r="R13" s="103"/>
      <c r="S13" s="104"/>
    </row>
    <row r="14" spans="1:19" x14ac:dyDescent="0.35">
      <c r="A14" s="101">
        <f t="shared" si="5"/>
        <v>2004</v>
      </c>
      <c r="B14" s="88">
        <v>1982</v>
      </c>
      <c r="C14" s="92">
        <v>37028160</v>
      </c>
      <c r="D14" s="102"/>
      <c r="E14" s="102"/>
      <c r="F14" s="92">
        <v>687520</v>
      </c>
      <c r="G14" s="92">
        <v>0</v>
      </c>
      <c r="H14" s="92">
        <f t="shared" si="0"/>
        <v>36340640</v>
      </c>
      <c r="I14" s="92">
        <f>-(H14*M14)</f>
        <v>-25666140.406954065</v>
      </c>
      <c r="J14" s="92">
        <f t="shared" si="1"/>
        <v>10674499.593045935</v>
      </c>
      <c r="K14" s="92">
        <f t="shared" si="2"/>
        <v>11362019.593045935</v>
      </c>
      <c r="L14" s="92">
        <f t="shared" si="3"/>
        <v>25666140.406954065</v>
      </c>
      <c r="M14" s="68">
        <f t="shared" si="7"/>
        <v>0.70626550349564743</v>
      </c>
      <c r="N14" s="68">
        <f t="shared" si="6"/>
        <v>0.29373449650435257</v>
      </c>
      <c r="O14" s="103"/>
      <c r="P14" s="92">
        <f t="shared" si="4"/>
        <v>25666140.406954065</v>
      </c>
      <c r="Q14" s="92"/>
      <c r="R14" s="103"/>
      <c r="S14" s="104"/>
    </row>
    <row r="15" spans="1:19" x14ac:dyDescent="0.35">
      <c r="A15" s="101">
        <f t="shared" si="5"/>
        <v>2005</v>
      </c>
      <c r="B15" s="88">
        <v>1982</v>
      </c>
      <c r="C15" s="92">
        <v>37927480</v>
      </c>
      <c r="D15" s="102"/>
      <c r="E15" s="102"/>
      <c r="F15" s="92">
        <v>0</v>
      </c>
      <c r="G15" s="92">
        <v>0</v>
      </c>
      <c r="H15" s="92">
        <f t="shared" si="0"/>
        <v>37927480</v>
      </c>
      <c r="I15" s="92">
        <v>-25592840</v>
      </c>
      <c r="J15" s="92">
        <f t="shared" si="1"/>
        <v>12334640</v>
      </c>
      <c r="K15" s="92">
        <f t="shared" si="2"/>
        <v>12334640</v>
      </c>
      <c r="L15" s="92">
        <f t="shared" si="3"/>
        <v>25592840</v>
      </c>
      <c r="M15" s="68">
        <f t="shared" si="7"/>
        <v>0.69315192564129746</v>
      </c>
      <c r="N15" s="68">
        <f t="shared" si="6"/>
        <v>0.30684807435870254</v>
      </c>
      <c r="O15" s="103"/>
      <c r="P15" s="92">
        <f t="shared" si="4"/>
        <v>25592840</v>
      </c>
      <c r="Q15" s="92"/>
      <c r="R15" s="103"/>
      <c r="S15" s="104"/>
    </row>
    <row r="16" spans="1:19" x14ac:dyDescent="0.35">
      <c r="A16" s="101">
        <f t="shared" si="5"/>
        <v>2006</v>
      </c>
      <c r="B16" s="88">
        <v>1982</v>
      </c>
      <c r="C16" s="92">
        <v>41742240</v>
      </c>
      <c r="D16" s="102"/>
      <c r="E16" s="102"/>
      <c r="F16" s="92">
        <v>1322682</v>
      </c>
      <c r="G16" s="92">
        <v>0</v>
      </c>
      <c r="H16" s="92">
        <f t="shared" si="0"/>
        <v>40419558</v>
      </c>
      <c r="I16" s="92">
        <v>-27274453</v>
      </c>
      <c r="J16" s="92">
        <f t="shared" si="1"/>
        <v>13145105</v>
      </c>
      <c r="K16" s="92">
        <f>F16+J16+3</f>
        <v>14467790</v>
      </c>
      <c r="L16" s="92">
        <v>27274450</v>
      </c>
      <c r="M16" s="68">
        <f t="shared" si="7"/>
        <v>0.67478356062675404</v>
      </c>
      <c r="N16" s="68">
        <f t="shared" si="6"/>
        <v>0.32521643937324596</v>
      </c>
      <c r="O16" s="103"/>
      <c r="P16" s="92">
        <f t="shared" si="4"/>
        <v>27274450</v>
      </c>
      <c r="Q16" s="92"/>
      <c r="R16" s="103"/>
      <c r="S16" s="104"/>
    </row>
    <row r="17" spans="1:19" x14ac:dyDescent="0.35">
      <c r="A17" s="101">
        <f t="shared" si="5"/>
        <v>2007</v>
      </c>
      <c r="B17" s="88">
        <v>1982</v>
      </c>
      <c r="C17" s="92">
        <v>42179290</v>
      </c>
      <c r="D17" s="102"/>
      <c r="E17" s="102"/>
      <c r="F17" s="92">
        <v>0</v>
      </c>
      <c r="G17" s="92">
        <v>0</v>
      </c>
      <c r="H17" s="92">
        <f t="shared" si="0"/>
        <v>42179290</v>
      </c>
      <c r="I17" s="92">
        <v>-27274450</v>
      </c>
      <c r="J17" s="92">
        <f t="shared" si="1"/>
        <v>14904840</v>
      </c>
      <c r="K17" s="92">
        <f>F17+J17</f>
        <v>14904840</v>
      </c>
      <c r="L17" s="92">
        <f t="shared" ref="L17:L32" si="8">C17-K17</f>
        <v>27274450</v>
      </c>
      <c r="M17" s="68">
        <f t="shared" si="7"/>
        <v>0.65340168615771455</v>
      </c>
      <c r="N17" s="68">
        <f t="shared" si="6"/>
        <v>0.34659831384228545</v>
      </c>
      <c r="O17" s="103"/>
      <c r="P17" s="92">
        <f t="shared" si="4"/>
        <v>27274450</v>
      </c>
      <c r="Q17" s="92"/>
      <c r="R17" s="103"/>
      <c r="S17" s="104"/>
    </row>
    <row r="18" spans="1:19" x14ac:dyDescent="0.35">
      <c r="A18" s="101">
        <f t="shared" si="5"/>
        <v>2008</v>
      </c>
      <c r="B18" s="88">
        <v>1982</v>
      </c>
      <c r="C18" s="92">
        <v>63057110</v>
      </c>
      <c r="D18" s="102"/>
      <c r="E18" s="102"/>
      <c r="F18" s="92">
        <v>841564</v>
      </c>
      <c r="G18" s="92">
        <v>0</v>
      </c>
      <c r="H18" s="92">
        <f t="shared" si="0"/>
        <v>62215546</v>
      </c>
      <c r="I18" s="92">
        <v>-40228570</v>
      </c>
      <c r="J18" s="92">
        <f t="shared" si="1"/>
        <v>21986976</v>
      </c>
      <c r="K18" s="92">
        <f>F18+J18</f>
        <v>22828540</v>
      </c>
      <c r="L18" s="92">
        <f t="shared" si="8"/>
        <v>40228570</v>
      </c>
      <c r="M18" s="68">
        <f t="shared" si="7"/>
        <v>0.64663132072635643</v>
      </c>
      <c r="N18" s="68">
        <f t="shared" si="6"/>
        <v>0.35336867927364357</v>
      </c>
      <c r="O18" s="103"/>
      <c r="P18" s="92">
        <f t="shared" si="4"/>
        <v>40228570</v>
      </c>
      <c r="Q18" s="92"/>
      <c r="R18" s="103"/>
      <c r="S18" s="104"/>
    </row>
    <row r="19" spans="1:19" x14ac:dyDescent="0.35">
      <c r="A19" s="101">
        <f t="shared" si="5"/>
        <v>2009</v>
      </c>
      <c r="B19" s="88">
        <v>1982</v>
      </c>
      <c r="C19" s="92">
        <v>64940480</v>
      </c>
      <c r="D19" s="102"/>
      <c r="E19" s="102"/>
      <c r="F19" s="92">
        <v>0</v>
      </c>
      <c r="G19" s="92">
        <v>0</v>
      </c>
      <c r="H19" s="92">
        <f t="shared" si="0"/>
        <v>64940480</v>
      </c>
      <c r="I19" s="92">
        <v>-40228570</v>
      </c>
      <c r="J19" s="92">
        <f t="shared" si="1"/>
        <v>24711910</v>
      </c>
      <c r="K19" s="92">
        <f>F19+J19</f>
        <v>24711910</v>
      </c>
      <c r="L19" s="92">
        <f t="shared" si="8"/>
        <v>40228570</v>
      </c>
      <c r="M19" s="68">
        <f t="shared" si="7"/>
        <v>0.63797040492340995</v>
      </c>
      <c r="N19" s="68">
        <f t="shared" si="6"/>
        <v>0.36202959507659005</v>
      </c>
      <c r="O19" s="103"/>
      <c r="P19" s="92">
        <f t="shared" si="4"/>
        <v>40228570</v>
      </c>
      <c r="Q19" s="92"/>
      <c r="R19" s="103"/>
      <c r="S19" s="104"/>
    </row>
    <row r="20" spans="1:19" x14ac:dyDescent="0.35">
      <c r="A20" s="101">
        <f t="shared" si="5"/>
        <v>2010</v>
      </c>
      <c r="B20" s="88">
        <v>1982</v>
      </c>
      <c r="C20" s="92">
        <v>71178890</v>
      </c>
      <c r="D20" s="102"/>
      <c r="E20" s="102"/>
      <c r="F20" s="92">
        <f>2332230-G20</f>
        <v>2332230</v>
      </c>
      <c r="G20" s="92">
        <v>0</v>
      </c>
      <c r="H20" s="92">
        <f t="shared" si="0"/>
        <v>68846660</v>
      </c>
      <c r="I20" s="92">
        <f>-(H20*M20-5)</f>
        <v>-42648319.759475142</v>
      </c>
      <c r="J20" s="92">
        <f t="shared" si="1"/>
        <v>26198340.240524858</v>
      </c>
      <c r="K20" s="92">
        <f>F20+J20+G20</f>
        <v>28530570.240524858</v>
      </c>
      <c r="L20" s="92">
        <f t="shared" si="8"/>
        <v>42648319.759475142</v>
      </c>
      <c r="M20" s="68">
        <f t="shared" si="7"/>
        <v>0.61946831929791712</v>
      </c>
      <c r="N20" s="68">
        <f t="shared" si="6"/>
        <v>0.38053168070208288</v>
      </c>
      <c r="O20" s="103"/>
      <c r="P20" s="92">
        <f t="shared" si="4"/>
        <v>42648319.759475142</v>
      </c>
      <c r="Q20" s="92"/>
      <c r="R20" s="103"/>
      <c r="S20" s="104"/>
    </row>
    <row r="21" spans="1:19" x14ac:dyDescent="0.35">
      <c r="A21" s="101">
        <f t="shared" si="5"/>
        <v>2011</v>
      </c>
      <c r="B21" s="88">
        <v>1982</v>
      </c>
      <c r="C21" s="92">
        <v>70541430</v>
      </c>
      <c r="D21" s="102"/>
      <c r="E21" s="102"/>
      <c r="F21" s="92">
        <v>0</v>
      </c>
      <c r="G21" s="92">
        <v>0</v>
      </c>
      <c r="H21" s="92">
        <f t="shared" si="0"/>
        <v>70541430</v>
      </c>
      <c r="I21" s="92">
        <v>-42648320</v>
      </c>
      <c r="J21" s="92">
        <f t="shared" si="1"/>
        <v>27893110</v>
      </c>
      <c r="K21" s="92">
        <f t="shared" ref="K21:K28" si="9">F21+J21</f>
        <v>27893110</v>
      </c>
      <c r="L21" s="92">
        <f t="shared" si="8"/>
        <v>42648320</v>
      </c>
      <c r="M21" s="68">
        <f t="shared" si="7"/>
        <v>0.59917090248913885</v>
      </c>
      <c r="N21" s="68">
        <f t="shared" si="6"/>
        <v>0.40082909751086115</v>
      </c>
      <c r="O21" s="92"/>
      <c r="P21" s="92">
        <f t="shared" si="4"/>
        <v>42648320</v>
      </c>
      <c r="Q21" s="92"/>
      <c r="R21" s="92"/>
      <c r="S21" s="104"/>
    </row>
    <row r="22" spans="1:19" x14ac:dyDescent="0.35">
      <c r="A22" s="101">
        <f t="shared" si="5"/>
        <v>2012</v>
      </c>
      <c r="B22" s="88">
        <v>1982</v>
      </c>
      <c r="C22" s="92">
        <v>61726690</v>
      </c>
      <c r="D22" s="102"/>
      <c r="E22" s="102"/>
      <c r="F22" s="92">
        <v>413570</v>
      </c>
      <c r="G22" s="92">
        <v>0</v>
      </c>
      <c r="H22" s="92">
        <f t="shared" si="0"/>
        <v>61313120</v>
      </c>
      <c r="I22" s="92">
        <v>-37229610</v>
      </c>
      <c r="J22" s="92">
        <f t="shared" si="1"/>
        <v>24083510</v>
      </c>
      <c r="K22" s="92">
        <f t="shared" si="9"/>
        <v>24497080</v>
      </c>
      <c r="L22" s="92">
        <f t="shared" si="8"/>
        <v>37229610</v>
      </c>
      <c r="M22" s="68">
        <f t="shared" si="7"/>
        <v>0.60458541880991068</v>
      </c>
      <c r="N22" s="68">
        <f t="shared" si="6"/>
        <v>0.39541458119008932</v>
      </c>
      <c r="O22" s="92"/>
      <c r="P22" s="92">
        <f t="shared" si="4"/>
        <v>37229610</v>
      </c>
      <c r="Q22" s="92"/>
      <c r="R22" s="92"/>
      <c r="S22" s="104"/>
    </row>
    <row r="23" spans="1:19" x14ac:dyDescent="0.35">
      <c r="A23" s="73">
        <v>2013</v>
      </c>
      <c r="B23" s="89">
        <v>1992</v>
      </c>
      <c r="C23" s="106">
        <v>62636290</v>
      </c>
      <c r="D23" s="102"/>
      <c r="E23" s="92"/>
      <c r="F23" s="92">
        <v>0</v>
      </c>
      <c r="G23" s="92">
        <v>0</v>
      </c>
      <c r="H23" s="92">
        <f t="shared" si="0"/>
        <v>62636290</v>
      </c>
      <c r="I23" s="92">
        <v>-41891570</v>
      </c>
      <c r="J23" s="92">
        <f t="shared" si="1"/>
        <v>20744720</v>
      </c>
      <c r="K23" s="92">
        <f t="shared" si="9"/>
        <v>20744720</v>
      </c>
      <c r="L23" s="92">
        <f t="shared" si="8"/>
        <v>41891570</v>
      </c>
      <c r="M23" s="68">
        <v>0.67816426889783898</v>
      </c>
      <c r="N23" s="68">
        <f t="shared" si="6"/>
        <v>0.32183573110216102</v>
      </c>
      <c r="O23" s="92">
        <f>C2</f>
        <v>14124082</v>
      </c>
      <c r="P23" s="92">
        <f t="shared" si="4"/>
        <v>41891570</v>
      </c>
      <c r="Q23" s="92"/>
      <c r="R23" s="92"/>
      <c r="S23" s="104"/>
    </row>
    <row r="24" spans="1:19" x14ac:dyDescent="0.35">
      <c r="A24" s="73">
        <v>2014</v>
      </c>
      <c r="B24" s="89">
        <v>1992</v>
      </c>
      <c r="C24" s="106">
        <v>62864320</v>
      </c>
      <c r="D24" s="102"/>
      <c r="E24" s="92"/>
      <c r="F24" s="92">
        <v>1090810</v>
      </c>
      <c r="G24" s="92">
        <v>0</v>
      </c>
      <c r="H24" s="92">
        <f t="shared" si="0"/>
        <v>61773510</v>
      </c>
      <c r="I24" s="92">
        <f>-(H24*M24-7)</f>
        <v>-41314529.96109236</v>
      </c>
      <c r="J24" s="92">
        <f t="shared" si="1"/>
        <v>20458980.03890764</v>
      </c>
      <c r="K24" s="92">
        <f t="shared" si="9"/>
        <v>21549790.03890764</v>
      </c>
      <c r="L24" s="92">
        <f t="shared" si="8"/>
        <v>41314529.96109236</v>
      </c>
      <c r="M24" s="68">
        <f t="shared" ref="M24:M42" si="10">L23/C23</f>
        <v>0.66880669337216492</v>
      </c>
      <c r="N24" s="68">
        <f t="shared" si="6"/>
        <v>0.33119330662783508</v>
      </c>
      <c r="O24" s="92">
        <f t="shared" ref="O24:O32" si="11">O23</f>
        <v>14124082</v>
      </c>
      <c r="P24" s="92">
        <f t="shared" si="4"/>
        <v>41314529.96109236</v>
      </c>
      <c r="Q24" s="92"/>
      <c r="R24" s="92"/>
      <c r="S24" s="104"/>
    </row>
    <row r="25" spans="1:19" x14ac:dyDescent="0.35">
      <c r="A25" s="73">
        <v>2015</v>
      </c>
      <c r="B25" s="89">
        <v>1992</v>
      </c>
      <c r="C25" s="106">
        <v>61506500</v>
      </c>
      <c r="D25" s="102"/>
      <c r="E25" s="92"/>
      <c r="F25" s="92">
        <v>0</v>
      </c>
      <c r="G25" s="92">
        <v>0</v>
      </c>
      <c r="H25" s="92">
        <f t="shared" si="0"/>
        <v>61506500</v>
      </c>
      <c r="I25" s="92">
        <v>-41249053</v>
      </c>
      <c r="J25" s="92">
        <f t="shared" si="1"/>
        <v>20257447</v>
      </c>
      <c r="K25" s="92">
        <f t="shared" si="9"/>
        <v>20257447</v>
      </c>
      <c r="L25" s="92">
        <f t="shared" si="8"/>
        <v>41249053</v>
      </c>
      <c r="M25" s="68">
        <f t="shared" si="10"/>
        <v>0.65720157254691314</v>
      </c>
      <c r="N25" s="68">
        <f t="shared" si="6"/>
        <v>0.34279842745308686</v>
      </c>
      <c r="O25" s="92">
        <f t="shared" si="11"/>
        <v>14124082</v>
      </c>
      <c r="P25" s="92">
        <f t="shared" si="4"/>
        <v>41249053</v>
      </c>
      <c r="Q25" s="92"/>
      <c r="R25" s="92"/>
      <c r="S25" s="104"/>
    </row>
    <row r="26" spans="1:19" x14ac:dyDescent="0.35">
      <c r="A26" s="73">
        <v>2016</v>
      </c>
      <c r="B26" s="89">
        <v>1992</v>
      </c>
      <c r="C26" s="106">
        <v>60171710</v>
      </c>
      <c r="D26" s="102"/>
      <c r="E26" s="92"/>
      <c r="F26" s="92">
        <v>598030</v>
      </c>
      <c r="G26" s="92">
        <v>0</v>
      </c>
      <c r="H26" s="92">
        <f t="shared" si="0"/>
        <v>59573680</v>
      </c>
      <c r="I26" s="92">
        <f>-(H26*M26)</f>
        <v>-39952816.10439612</v>
      </c>
      <c r="J26" s="92">
        <f t="shared" si="1"/>
        <v>19620863.89560388</v>
      </c>
      <c r="K26" s="92">
        <f t="shared" si="9"/>
        <v>20218893.89560388</v>
      </c>
      <c r="L26" s="92">
        <f t="shared" si="8"/>
        <v>39952816.10439612</v>
      </c>
      <c r="M26" s="68">
        <f t="shared" si="10"/>
        <v>0.67064542771902158</v>
      </c>
      <c r="N26" s="68">
        <f t="shared" si="6"/>
        <v>0.32935457228097842</v>
      </c>
      <c r="O26" s="92">
        <f t="shared" si="11"/>
        <v>14124082</v>
      </c>
      <c r="P26" s="92">
        <f t="shared" si="4"/>
        <v>39952816.10439612</v>
      </c>
      <c r="Q26" s="92"/>
      <c r="R26" s="92"/>
      <c r="S26" s="104"/>
    </row>
    <row r="27" spans="1:19" x14ac:dyDescent="0.35">
      <c r="A27" s="73">
        <v>2017</v>
      </c>
      <c r="B27" s="89">
        <v>1992</v>
      </c>
      <c r="C27" s="106">
        <v>59745260</v>
      </c>
      <c r="D27" s="102"/>
      <c r="E27" s="92"/>
      <c r="F27" s="92">
        <v>198220</v>
      </c>
      <c r="G27" s="92">
        <v>48850</v>
      </c>
      <c r="H27" s="92">
        <f>C27-G27-F27</f>
        <v>59498190</v>
      </c>
      <c r="I27" s="92">
        <v>-40040392</v>
      </c>
      <c r="J27" s="92">
        <f t="shared" si="1"/>
        <v>19457798</v>
      </c>
      <c r="K27" s="92">
        <f t="shared" si="9"/>
        <v>19656018</v>
      </c>
      <c r="L27" s="92">
        <f t="shared" si="8"/>
        <v>40089242</v>
      </c>
      <c r="M27" s="68">
        <f t="shared" si="10"/>
        <v>0.66398006811500154</v>
      </c>
      <c r="N27" s="68">
        <f t="shared" si="6"/>
        <v>0.33601993188499846</v>
      </c>
      <c r="O27" s="92">
        <f t="shared" si="11"/>
        <v>14124082</v>
      </c>
      <c r="P27" s="92">
        <f t="shared" si="4"/>
        <v>40040392</v>
      </c>
      <c r="Q27" s="92"/>
      <c r="R27" s="92"/>
      <c r="S27" s="104"/>
    </row>
    <row r="28" spans="1:19" x14ac:dyDescent="0.35">
      <c r="A28" s="73">
        <v>2018</v>
      </c>
      <c r="B28" s="89">
        <v>1992</v>
      </c>
      <c r="C28" s="106">
        <f t="shared" ref="C28:C42" si="12">C27*(1+D28)+F28+G28</f>
        <v>61540165.200000003</v>
      </c>
      <c r="D28" s="102">
        <v>0.02</v>
      </c>
      <c r="E28" s="92">
        <f t="shared" ref="E28:E42" si="13">C28-C27-F28</f>
        <v>1194905.200000003</v>
      </c>
      <c r="F28" s="92">
        <v>600000</v>
      </c>
      <c r="G28" s="92">
        <v>0</v>
      </c>
      <c r="H28" s="92">
        <f>C28-G28-F28</f>
        <v>60940165.200000003</v>
      </c>
      <c r="I28" s="92">
        <f>-(H28*M28)</f>
        <v>-40891026.840000004</v>
      </c>
      <c r="J28" s="92">
        <f t="shared" si="1"/>
        <v>20049138.359999999</v>
      </c>
      <c r="K28" s="92">
        <f t="shared" si="9"/>
        <v>20649138.359999999</v>
      </c>
      <c r="L28" s="92">
        <f t="shared" si="8"/>
        <v>40891026.840000004</v>
      </c>
      <c r="M28" s="68">
        <f t="shared" si="10"/>
        <v>0.67100288792784568</v>
      </c>
      <c r="N28" s="68">
        <f t="shared" si="6"/>
        <v>0.32899711207215432</v>
      </c>
      <c r="O28" s="92">
        <f>O27</f>
        <v>14124082</v>
      </c>
      <c r="P28" s="92">
        <f t="shared" si="4"/>
        <v>40891026.840000004</v>
      </c>
      <c r="Q28" s="92"/>
      <c r="R28" s="92"/>
      <c r="S28" s="104"/>
    </row>
    <row r="29" spans="1:19" x14ac:dyDescent="0.35">
      <c r="A29" s="73">
        <v>2019</v>
      </c>
      <c r="B29" s="89">
        <v>1992</v>
      </c>
      <c r="C29" s="106">
        <f t="shared" si="12"/>
        <v>61540165.200000003</v>
      </c>
      <c r="D29" s="102">
        <v>0</v>
      </c>
      <c r="E29" s="92">
        <f t="shared" si="13"/>
        <v>0</v>
      </c>
      <c r="F29" s="92">
        <v>0</v>
      </c>
      <c r="G29" s="92">
        <v>0</v>
      </c>
      <c r="H29" s="92">
        <f>C29-E29-G29</f>
        <v>61540165.200000003</v>
      </c>
      <c r="I29" s="92">
        <f t="shared" ref="I29:I32" si="14">-(H29*M29)</f>
        <v>-40891026.840000004</v>
      </c>
      <c r="J29" s="92">
        <f t="shared" si="1"/>
        <v>20649138.359999999</v>
      </c>
      <c r="K29" s="92">
        <f t="shared" ref="K29:K32" si="15">F29+J29</f>
        <v>20649138.359999999</v>
      </c>
      <c r="L29" s="92">
        <f t="shared" si="8"/>
        <v>40891026.840000004</v>
      </c>
      <c r="M29" s="68">
        <f t="shared" si="10"/>
        <v>0.6644607908852348</v>
      </c>
      <c r="N29" s="68">
        <f t="shared" si="6"/>
        <v>0.3355392091147652</v>
      </c>
      <c r="O29" s="92">
        <f t="shared" si="11"/>
        <v>14124082</v>
      </c>
      <c r="P29" s="92">
        <f t="shared" si="4"/>
        <v>40891026.840000004</v>
      </c>
      <c r="Q29" s="92"/>
      <c r="R29" s="92"/>
      <c r="S29" s="104"/>
    </row>
    <row r="30" spans="1:19" x14ac:dyDescent="0.35">
      <c r="A30" s="73">
        <v>2020</v>
      </c>
      <c r="B30" s="89">
        <v>1992</v>
      </c>
      <c r="C30" s="106">
        <f t="shared" si="12"/>
        <v>63370968.504000001</v>
      </c>
      <c r="D30" s="102">
        <v>0.02</v>
      </c>
      <c r="E30" s="92">
        <f t="shared" si="13"/>
        <v>1230803.3039999977</v>
      </c>
      <c r="F30" s="92">
        <v>600000</v>
      </c>
      <c r="G30" s="92">
        <v>0</v>
      </c>
      <c r="H30" s="92">
        <f>C30-E30-G30</f>
        <v>62140165.200000003</v>
      </c>
      <c r="I30" s="92">
        <f t="shared" si="14"/>
        <v>-41289703.314531147</v>
      </c>
      <c r="J30" s="92">
        <f t="shared" si="1"/>
        <v>20850461.885468856</v>
      </c>
      <c r="K30" s="92">
        <f t="shared" si="15"/>
        <v>21450461.885468856</v>
      </c>
      <c r="L30" s="92">
        <f t="shared" si="8"/>
        <v>41920506.618531145</v>
      </c>
      <c r="M30" s="68">
        <f t="shared" si="10"/>
        <v>0.6644607908852348</v>
      </c>
      <c r="N30" s="68">
        <f t="shared" si="6"/>
        <v>0.3355392091147652</v>
      </c>
      <c r="O30" s="92">
        <f t="shared" si="11"/>
        <v>14124082</v>
      </c>
      <c r="P30" s="92">
        <f t="shared" si="4"/>
        <v>41920506.618531145</v>
      </c>
      <c r="Q30" s="92"/>
      <c r="R30" s="92"/>
      <c r="S30" s="104"/>
    </row>
    <row r="31" spans="1:19" x14ac:dyDescent="0.35">
      <c r="A31" s="73">
        <v>2021</v>
      </c>
      <c r="B31" s="89">
        <v>1992</v>
      </c>
      <c r="C31" s="106">
        <f t="shared" si="12"/>
        <v>63370968.504000001</v>
      </c>
      <c r="D31" s="102">
        <v>0</v>
      </c>
      <c r="E31" s="92">
        <f t="shared" si="13"/>
        <v>0</v>
      </c>
      <c r="F31" s="92">
        <v>0</v>
      </c>
      <c r="G31" s="92">
        <v>0</v>
      </c>
      <c r="H31" s="92">
        <f>C31-E31-G31</f>
        <v>63370968.504000001</v>
      </c>
      <c r="I31" s="92">
        <f t="shared" si="14"/>
        <v>-41920506.618531145</v>
      </c>
      <c r="J31" s="92">
        <f t="shared" si="1"/>
        <v>21450461.885468856</v>
      </c>
      <c r="K31" s="92">
        <f t="shared" si="15"/>
        <v>21450461.885468856</v>
      </c>
      <c r="L31" s="92">
        <f t="shared" si="8"/>
        <v>41920506.618531145</v>
      </c>
      <c r="M31" s="68">
        <f t="shared" si="10"/>
        <v>0.66150964089944608</v>
      </c>
      <c r="N31" s="68">
        <f t="shared" si="6"/>
        <v>0.33849035910055392</v>
      </c>
      <c r="O31" s="92">
        <f t="shared" si="11"/>
        <v>14124082</v>
      </c>
      <c r="P31" s="92">
        <f t="shared" si="4"/>
        <v>41920506.618531145</v>
      </c>
      <c r="Q31" s="92"/>
      <c r="R31" s="92"/>
      <c r="S31" s="104"/>
    </row>
    <row r="32" spans="1:19" x14ac:dyDescent="0.35">
      <c r="A32" s="107">
        <v>2022</v>
      </c>
      <c r="B32" s="90">
        <v>1992</v>
      </c>
      <c r="C32" s="79">
        <f t="shared" si="12"/>
        <v>65238387.874080002</v>
      </c>
      <c r="D32" s="80">
        <v>0.02</v>
      </c>
      <c r="E32" s="81">
        <f t="shared" si="13"/>
        <v>1267419.3700800017</v>
      </c>
      <c r="F32" s="81">
        <v>600000</v>
      </c>
      <c r="G32" s="81">
        <v>0</v>
      </c>
      <c r="H32" s="81">
        <f t="shared" ref="H32" si="16">C32-E32-G32</f>
        <v>63970968.504000001</v>
      </c>
      <c r="I32" s="81">
        <f t="shared" si="14"/>
        <v>-42317412.403070815</v>
      </c>
      <c r="J32" s="81">
        <f t="shared" si="1"/>
        <v>21653556.100929186</v>
      </c>
      <c r="K32" s="81">
        <f t="shared" si="15"/>
        <v>22253556.100929186</v>
      </c>
      <c r="L32" s="81">
        <f t="shared" si="8"/>
        <v>42984831.773150817</v>
      </c>
      <c r="M32" s="82">
        <f t="shared" si="10"/>
        <v>0.66150964089944608</v>
      </c>
      <c r="N32" s="82">
        <f t="shared" si="6"/>
        <v>0.33849035910055392</v>
      </c>
      <c r="O32" s="81">
        <f t="shared" si="11"/>
        <v>14124082</v>
      </c>
      <c r="P32" s="81">
        <f t="shared" si="4"/>
        <v>42984831.773150817</v>
      </c>
      <c r="Q32" s="92"/>
      <c r="R32" s="92"/>
      <c r="S32" s="104"/>
    </row>
    <row r="33" spans="1:19" x14ac:dyDescent="0.35">
      <c r="A33" s="108">
        <v>2023</v>
      </c>
      <c r="B33" s="91">
        <f t="shared" ref="B33:B42" si="17">B32+1</f>
        <v>1993</v>
      </c>
      <c r="C33" s="106">
        <f t="shared" si="12"/>
        <v>65238387.874080002</v>
      </c>
      <c r="D33" s="109">
        <v>0</v>
      </c>
      <c r="E33" s="96">
        <f t="shared" si="13"/>
        <v>0</v>
      </c>
      <c r="F33" s="96">
        <v>0</v>
      </c>
      <c r="G33" s="96">
        <v>0</v>
      </c>
      <c r="H33" s="96"/>
      <c r="I33" s="96"/>
      <c r="J33" s="96"/>
      <c r="K33" s="96">
        <f t="shared" ref="K33:K42" si="18">C33-L33</f>
        <v>24546134.106662802</v>
      </c>
      <c r="L33" s="96">
        <f>S33</f>
        <v>40692253.7674172</v>
      </c>
      <c r="M33" s="110">
        <f t="shared" si="10"/>
        <v>0.65888862637314205</v>
      </c>
      <c r="N33" s="110">
        <f t="shared" si="6"/>
        <v>0.34111137362685795</v>
      </c>
      <c r="O33" s="96">
        <f t="shared" ref="O33:O42" si="19">C3</f>
        <v>13370780</v>
      </c>
      <c r="P33" s="96">
        <f t="shared" si="4"/>
        <v>40692253.7674172</v>
      </c>
      <c r="Q33" s="93">
        <f t="shared" ref="Q33:Q42" si="20">(C3-G3)/C2</f>
        <v>0.94666541867995391</v>
      </c>
      <c r="R33" s="94">
        <f t="shared" ref="R33:R42" si="21">L32*Q33</f>
        <v>40692253.7674172</v>
      </c>
      <c r="S33" s="111">
        <f t="shared" ref="S33:S42" si="22">R33*(1+D33)</f>
        <v>40692253.7674172</v>
      </c>
    </row>
    <row r="34" spans="1:19" x14ac:dyDescent="0.35">
      <c r="A34" s="108">
        <v>2024</v>
      </c>
      <c r="B34" s="91">
        <f t="shared" si="17"/>
        <v>1994</v>
      </c>
      <c r="C34" s="106">
        <f t="shared" si="12"/>
        <v>67143155.631561607</v>
      </c>
      <c r="D34" s="109">
        <v>0.02</v>
      </c>
      <c r="E34" s="96">
        <f t="shared" si="13"/>
        <v>1304767.7574816048</v>
      </c>
      <c r="F34" s="96">
        <v>600000</v>
      </c>
      <c r="G34" s="96">
        <v>0</v>
      </c>
      <c r="H34" s="96"/>
      <c r="I34" s="96"/>
      <c r="J34" s="96"/>
      <c r="K34" s="96">
        <f t="shared" si="18"/>
        <v>25880584.350704566</v>
      </c>
      <c r="L34" s="96">
        <f t="shared" ref="L34:L42" si="23">S34</f>
        <v>41262571.280857041</v>
      </c>
      <c r="M34" s="110">
        <f t="shared" si="10"/>
        <v>0.62374707734899015</v>
      </c>
      <c r="N34" s="110">
        <f t="shared" si="6"/>
        <v>0.37625292265100985</v>
      </c>
      <c r="O34" s="96">
        <f t="shared" si="19"/>
        <v>13292330</v>
      </c>
      <c r="P34" s="96">
        <f t="shared" si="4"/>
        <v>41262571.280857041</v>
      </c>
      <c r="Q34" s="95">
        <f t="shared" si="20"/>
        <v>0.99413272823275833</v>
      </c>
      <c r="R34" s="96">
        <f t="shared" si="21"/>
        <v>40453501.2557422</v>
      </c>
      <c r="S34" s="112">
        <f t="shared" si="22"/>
        <v>41262571.280857041</v>
      </c>
    </row>
    <row r="35" spans="1:19" x14ac:dyDescent="0.35">
      <c r="A35" s="108">
        <v>2025</v>
      </c>
      <c r="B35" s="91">
        <f t="shared" si="17"/>
        <v>1995</v>
      </c>
      <c r="C35" s="106">
        <f t="shared" si="12"/>
        <v>67143155.631561607</v>
      </c>
      <c r="D35" s="109">
        <v>0</v>
      </c>
      <c r="E35" s="96">
        <f t="shared" si="13"/>
        <v>0</v>
      </c>
      <c r="F35" s="96">
        <v>0</v>
      </c>
      <c r="G35" s="96">
        <v>0</v>
      </c>
      <c r="H35" s="96"/>
      <c r="I35" s="96"/>
      <c r="J35" s="96"/>
      <c r="K35" s="96">
        <f t="shared" si="18"/>
        <v>27359363.175135426</v>
      </c>
      <c r="L35" s="96">
        <f t="shared" si="23"/>
        <v>39783792.456426181</v>
      </c>
      <c r="M35" s="110">
        <f t="shared" si="10"/>
        <v>0.61454620195808873</v>
      </c>
      <c r="N35" s="110">
        <f t="shared" si="6"/>
        <v>0.38545379804191127</v>
      </c>
      <c r="O35" s="96">
        <f t="shared" si="19"/>
        <v>12815956</v>
      </c>
      <c r="P35" s="96">
        <f t="shared" si="4"/>
        <v>39783792.456426181</v>
      </c>
      <c r="Q35" s="95">
        <f t="shared" si="20"/>
        <v>0.96416173838597141</v>
      </c>
      <c r="R35" s="96">
        <f t="shared" si="21"/>
        <v>39783792.456426181</v>
      </c>
      <c r="S35" s="112">
        <f t="shared" si="22"/>
        <v>39783792.456426181</v>
      </c>
    </row>
    <row r="36" spans="1:19" x14ac:dyDescent="0.35">
      <c r="A36" s="108">
        <v>2026</v>
      </c>
      <c r="B36" s="91">
        <f t="shared" si="17"/>
        <v>1996</v>
      </c>
      <c r="C36" s="106">
        <f t="shared" si="12"/>
        <v>69086018.744192839</v>
      </c>
      <c r="D36" s="109">
        <v>0.02</v>
      </c>
      <c r="E36" s="96">
        <f t="shared" si="13"/>
        <v>1342863.1126312315</v>
      </c>
      <c r="F36" s="96">
        <v>600000</v>
      </c>
      <c r="G36" s="96">
        <v>0</v>
      </c>
      <c r="H36" s="96"/>
      <c r="I36" s="96"/>
      <c r="J36" s="96"/>
      <c r="K36" s="96">
        <f t="shared" si="18"/>
        <v>25807784.888979048</v>
      </c>
      <c r="L36" s="96">
        <f t="shared" si="23"/>
        <v>43278233.855213791</v>
      </c>
      <c r="M36" s="110">
        <f t="shared" si="10"/>
        <v>0.59252193439840706</v>
      </c>
      <c r="N36" s="110">
        <f t="shared" si="6"/>
        <v>0.40747806560159294</v>
      </c>
      <c r="O36" s="96">
        <f t="shared" si="19"/>
        <v>13668290</v>
      </c>
      <c r="P36" s="96">
        <f t="shared" si="4"/>
        <v>43278233.855213791</v>
      </c>
      <c r="Q36" s="95">
        <f t="shared" si="20"/>
        <v>1.066505690250497</v>
      </c>
      <c r="R36" s="96">
        <f t="shared" si="21"/>
        <v>42429641.034523323</v>
      </c>
      <c r="S36" s="112">
        <f t="shared" si="22"/>
        <v>43278233.855213791</v>
      </c>
    </row>
    <row r="37" spans="1:19" x14ac:dyDescent="0.35">
      <c r="A37" s="108">
        <v>2027</v>
      </c>
      <c r="B37" s="91">
        <f t="shared" si="17"/>
        <v>1997</v>
      </c>
      <c r="C37" s="106">
        <f t="shared" si="12"/>
        <v>69086018.744192839</v>
      </c>
      <c r="D37" s="109">
        <v>0</v>
      </c>
      <c r="E37" s="96">
        <f t="shared" si="13"/>
        <v>0</v>
      </c>
      <c r="F37" s="96">
        <v>0</v>
      </c>
      <c r="G37" s="96">
        <v>0</v>
      </c>
      <c r="H37" s="96"/>
      <c r="I37" s="96"/>
      <c r="J37" s="96"/>
      <c r="K37" s="96">
        <f t="shared" si="18"/>
        <v>27336961.036132462</v>
      </c>
      <c r="L37" s="96">
        <f t="shared" si="23"/>
        <v>41749057.708060376</v>
      </c>
      <c r="M37" s="110">
        <f t="shared" si="10"/>
        <v>0.62643983025656158</v>
      </c>
      <c r="N37" s="110">
        <f t="shared" si="6"/>
        <v>0.37356016974343842</v>
      </c>
      <c r="O37" s="96">
        <f t="shared" si="19"/>
        <v>24650580</v>
      </c>
      <c r="P37" s="96">
        <f t="shared" si="4"/>
        <v>41749057.708060376</v>
      </c>
      <c r="Q37" s="95">
        <f>(C7-G7)/C6</f>
        <v>0.9646663920651376</v>
      </c>
      <c r="R37" s="96">
        <f t="shared" si="21"/>
        <v>41749057.708060376</v>
      </c>
      <c r="S37" s="112">
        <f t="shared" si="22"/>
        <v>41749057.708060376</v>
      </c>
    </row>
    <row r="38" spans="1:19" x14ac:dyDescent="0.35">
      <c r="A38" s="108">
        <v>2028</v>
      </c>
      <c r="B38" s="91">
        <f t="shared" si="17"/>
        <v>1998</v>
      </c>
      <c r="C38" s="106">
        <f t="shared" si="12"/>
        <v>71067739.119076699</v>
      </c>
      <c r="D38" s="109">
        <v>0.02</v>
      </c>
      <c r="E38" s="96">
        <f t="shared" si="13"/>
        <v>1381720.3748838603</v>
      </c>
      <c r="F38" s="96">
        <v>600000</v>
      </c>
      <c r="G38" s="96">
        <v>0</v>
      </c>
      <c r="H38" s="96"/>
      <c r="I38" s="96"/>
      <c r="J38" s="96"/>
      <c r="K38" s="96">
        <f t="shared" si="18"/>
        <v>25945233.00514327</v>
      </c>
      <c r="L38" s="96">
        <f t="shared" si="23"/>
        <v>45122506.113933429</v>
      </c>
      <c r="M38" s="110">
        <f t="shared" si="10"/>
        <v>0.60430545089949439</v>
      </c>
      <c r="N38" s="110">
        <f t="shared" si="6"/>
        <v>0.39569454910050561</v>
      </c>
      <c r="O38" s="96">
        <f t="shared" si="19"/>
        <v>26709570</v>
      </c>
      <c r="P38" s="96">
        <f t="shared" si="4"/>
        <v>45122506.113933429</v>
      </c>
      <c r="Q38" s="95">
        <f t="shared" si="20"/>
        <v>1.0596107677790949</v>
      </c>
      <c r="R38" s="96">
        <f t="shared" si="21"/>
        <v>44237751.092091598</v>
      </c>
      <c r="S38" s="112">
        <f t="shared" si="22"/>
        <v>45122506.113933429</v>
      </c>
    </row>
    <row r="39" spans="1:19" x14ac:dyDescent="0.35">
      <c r="A39" s="108">
        <v>2029</v>
      </c>
      <c r="B39" s="91">
        <f t="shared" si="17"/>
        <v>1999</v>
      </c>
      <c r="C39" s="106">
        <f t="shared" si="12"/>
        <v>71067739.119076699</v>
      </c>
      <c r="D39" s="109">
        <v>0</v>
      </c>
      <c r="E39" s="96">
        <f t="shared" si="13"/>
        <v>0</v>
      </c>
      <c r="F39" s="96">
        <v>0</v>
      </c>
      <c r="G39" s="96">
        <v>0</v>
      </c>
      <c r="H39" s="96"/>
      <c r="I39" s="96"/>
      <c r="J39" s="96"/>
      <c r="K39" s="96">
        <f t="shared" si="18"/>
        <v>26537122.775067598</v>
      </c>
      <c r="L39" s="96">
        <f t="shared" si="23"/>
        <v>44530616.344009101</v>
      </c>
      <c r="M39" s="110">
        <f t="shared" si="10"/>
        <v>0.63492249328952133</v>
      </c>
      <c r="N39" s="110">
        <f t="shared" si="6"/>
        <v>0.36507750671047867</v>
      </c>
      <c r="O39" s="96">
        <f t="shared" si="19"/>
        <v>26359210</v>
      </c>
      <c r="P39" s="96">
        <f t="shared" si="4"/>
        <v>44530616.344009101</v>
      </c>
      <c r="Q39" s="95">
        <f t="shared" si="20"/>
        <v>0.98688260425008711</v>
      </c>
      <c r="R39" s="96">
        <f t="shared" si="21"/>
        <v>44530616.344009101</v>
      </c>
      <c r="S39" s="112">
        <f t="shared" si="22"/>
        <v>44530616.344009101</v>
      </c>
    </row>
    <row r="40" spans="1:19" x14ac:dyDescent="0.35">
      <c r="A40" s="108">
        <v>2030</v>
      </c>
      <c r="B40" s="91">
        <f t="shared" si="17"/>
        <v>2000</v>
      </c>
      <c r="C40" s="106">
        <f t="shared" si="12"/>
        <v>73089093.901458234</v>
      </c>
      <c r="D40" s="109">
        <v>0.02</v>
      </c>
      <c r="E40" s="96">
        <f t="shared" si="13"/>
        <v>1421354.7823815346</v>
      </c>
      <c r="F40" s="96">
        <v>600000</v>
      </c>
      <c r="G40" s="96">
        <v>0</v>
      </c>
      <c r="H40" s="96"/>
      <c r="I40" s="96"/>
      <c r="J40" s="96"/>
      <c r="K40" s="96">
        <f t="shared" si="18"/>
        <v>20986798.46054592</v>
      </c>
      <c r="L40" s="96">
        <f t="shared" si="23"/>
        <v>52102295.440912314</v>
      </c>
      <c r="M40" s="110">
        <f t="shared" si="10"/>
        <v>0.62659396367452125</v>
      </c>
      <c r="N40" s="110">
        <f t="shared" si="6"/>
        <v>0.37340603632547875</v>
      </c>
      <c r="O40" s="96">
        <f t="shared" si="19"/>
        <v>30236420</v>
      </c>
      <c r="P40" s="96">
        <f t="shared" si="4"/>
        <v>52102295.440912314</v>
      </c>
      <c r="Q40" s="95">
        <f t="shared" si="20"/>
        <v>1.1470912823259878</v>
      </c>
      <c r="R40" s="96">
        <f t="shared" si="21"/>
        <v>51080681.804815993</v>
      </c>
      <c r="S40" s="112">
        <f t="shared" si="22"/>
        <v>52102295.440912314</v>
      </c>
    </row>
    <row r="41" spans="1:19" x14ac:dyDescent="0.35">
      <c r="A41" s="108">
        <v>2031</v>
      </c>
      <c r="B41" s="91">
        <f t="shared" si="17"/>
        <v>2001</v>
      </c>
      <c r="C41" s="106">
        <f t="shared" si="12"/>
        <v>73089093.901458234</v>
      </c>
      <c r="D41" s="109">
        <v>0</v>
      </c>
      <c r="E41" s="96">
        <f t="shared" si="13"/>
        <v>0</v>
      </c>
      <c r="F41" s="96">
        <v>0</v>
      </c>
      <c r="G41" s="96">
        <v>0</v>
      </c>
      <c r="H41" s="96"/>
      <c r="I41" s="96"/>
      <c r="J41" s="96"/>
      <c r="K41" s="96">
        <f t="shared" si="18"/>
        <v>19890625.228999928</v>
      </c>
      <c r="L41" s="96">
        <f t="shared" si="23"/>
        <v>53198468.672458306</v>
      </c>
      <c r="M41" s="110">
        <f t="shared" si="10"/>
        <v>0.71286005421217569</v>
      </c>
      <c r="N41" s="110">
        <f t="shared" si="6"/>
        <v>0.28713994578782431</v>
      </c>
      <c r="O41" s="96">
        <f t="shared" si="19"/>
        <v>30872560</v>
      </c>
      <c r="P41" s="96">
        <f t="shared" si="4"/>
        <v>53198468.672458306</v>
      </c>
      <c r="Q41" s="95">
        <f t="shared" si="20"/>
        <v>1.0210388663737306</v>
      </c>
      <c r="R41" s="96">
        <f t="shared" si="21"/>
        <v>53198468.672458306</v>
      </c>
      <c r="S41" s="112">
        <f t="shared" si="22"/>
        <v>53198468.672458306</v>
      </c>
    </row>
    <row r="42" spans="1:19" x14ac:dyDescent="0.35">
      <c r="A42" s="113">
        <v>2032</v>
      </c>
      <c r="B42" s="114">
        <f t="shared" si="17"/>
        <v>2002</v>
      </c>
      <c r="C42" s="79">
        <f t="shared" si="12"/>
        <v>75150875.779487401</v>
      </c>
      <c r="D42" s="115">
        <v>0.02</v>
      </c>
      <c r="E42" s="116">
        <f t="shared" si="13"/>
        <v>1461781.8780291677</v>
      </c>
      <c r="F42" s="116">
        <v>600000</v>
      </c>
      <c r="G42" s="116">
        <v>0</v>
      </c>
      <c r="H42" s="116"/>
      <c r="I42" s="116"/>
      <c r="J42" s="116"/>
      <c r="K42" s="116">
        <f t="shared" si="18"/>
        <v>17050958.468537733</v>
      </c>
      <c r="L42" s="116">
        <f t="shared" si="23"/>
        <v>58099917.310949668</v>
      </c>
      <c r="M42" s="117">
        <f t="shared" si="10"/>
        <v>0.72785782163591606</v>
      </c>
      <c r="N42" s="117">
        <f t="shared" si="6"/>
        <v>0.27214217836408394</v>
      </c>
      <c r="O42" s="116">
        <f t="shared" si="19"/>
        <v>33055890</v>
      </c>
      <c r="P42" s="116">
        <f t="shared" si="4"/>
        <v>58099917.310949668</v>
      </c>
      <c r="Q42" s="118">
        <f t="shared" si="20"/>
        <v>1.0707207306423567</v>
      </c>
      <c r="R42" s="116">
        <f t="shared" si="21"/>
        <v>56960703.246029086</v>
      </c>
      <c r="S42" s="119">
        <f t="shared" si="22"/>
        <v>58099917.310949668</v>
      </c>
    </row>
    <row r="43" spans="1:19" x14ac:dyDescent="0.35">
      <c r="I43" s="71"/>
      <c r="J43" s="71"/>
      <c r="K43" s="71"/>
    </row>
    <row r="44" spans="1:19" x14ac:dyDescent="0.35">
      <c r="I44" s="120"/>
    </row>
  </sheetData>
  <pageMargins left="0.25" right="0.25" top="0.89375000000000004" bottom="0.75" header="0.3" footer="0.3"/>
  <pageSetup paperSize="5" scale="61" fitToHeight="0" orientation="landscape" r:id="rId1"/>
  <headerFooter>
    <oddHeader>&amp;LCity of Grand Junction Downtown Development Authority
Tax Increment Debt Service Fund Projection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zoomScaleNormal="100" workbookViewId="0">
      <pane xSplit="1" ySplit="1" topLeftCell="I21" activePane="bottomRight" state="frozen"/>
      <selection pane="topRight" activeCell="B1" sqref="B1"/>
      <selection pane="bottomLeft" activeCell="A2" sqref="A2"/>
      <selection pane="bottomRight" activeCell="U33" sqref="U33"/>
    </sheetView>
  </sheetViews>
  <sheetFormatPr defaultRowHeight="14.5" x14ac:dyDescent="0.35"/>
  <cols>
    <col min="1" max="28" width="12.453125" customWidth="1"/>
  </cols>
  <sheetData>
    <row r="1" spans="1:22" ht="87" x14ac:dyDescent="0.35">
      <c r="A1" s="75" t="s">
        <v>0</v>
      </c>
      <c r="B1" s="87" t="s">
        <v>80</v>
      </c>
      <c r="C1" s="75" t="s">
        <v>68</v>
      </c>
      <c r="D1" s="76" t="s">
        <v>72</v>
      </c>
      <c r="E1" s="76" t="s">
        <v>71</v>
      </c>
      <c r="F1" s="76" t="s">
        <v>70</v>
      </c>
      <c r="G1" s="75" t="s">
        <v>69</v>
      </c>
      <c r="H1" s="76" t="s">
        <v>73</v>
      </c>
      <c r="I1" s="76" t="s">
        <v>77</v>
      </c>
      <c r="J1" s="76" t="s">
        <v>76</v>
      </c>
      <c r="K1" s="75" t="s">
        <v>79</v>
      </c>
      <c r="L1" s="75" t="s">
        <v>74</v>
      </c>
      <c r="M1" s="76" t="s">
        <v>75</v>
      </c>
      <c r="N1" s="76" t="s">
        <v>86</v>
      </c>
      <c r="O1" s="76" t="s">
        <v>78</v>
      </c>
      <c r="P1" s="76" t="s">
        <v>82</v>
      </c>
      <c r="Q1" s="76" t="s">
        <v>84</v>
      </c>
      <c r="R1" s="76" t="s">
        <v>83</v>
      </c>
      <c r="S1" s="76" t="s">
        <v>85</v>
      </c>
      <c r="T1" s="76" t="s">
        <v>89</v>
      </c>
      <c r="U1" s="76" t="s">
        <v>81</v>
      </c>
      <c r="V1" s="76" t="s">
        <v>73</v>
      </c>
    </row>
    <row r="2" spans="1:22" x14ac:dyDescent="0.35">
      <c r="A2" s="75">
        <v>1992</v>
      </c>
      <c r="B2" s="88">
        <v>1982</v>
      </c>
      <c r="C2" s="71">
        <v>14124082</v>
      </c>
      <c r="D2" s="77"/>
      <c r="E2" s="71">
        <v>533212</v>
      </c>
      <c r="F2" s="71">
        <v>0</v>
      </c>
      <c r="G2" s="71">
        <f t="shared" ref="G2:G42" si="0">C2-E2-F2</f>
        <v>13590870</v>
      </c>
      <c r="H2" s="71">
        <f>G2*L2</f>
        <v>12192744.242543854</v>
      </c>
      <c r="I2" s="71">
        <f t="shared" ref="I2:I15" si="1">C2-K2</f>
        <v>12192744.242543854</v>
      </c>
      <c r="J2" s="71">
        <f t="shared" ref="J2:J42" si="2">G2-H2</f>
        <v>1398125.7574561462</v>
      </c>
      <c r="K2" s="71">
        <f t="shared" ref="K2:K15" si="3">E2+J2</f>
        <v>1931337.7574561462</v>
      </c>
      <c r="L2" s="78">
        <v>0.89712757480160243</v>
      </c>
      <c r="M2" s="78">
        <v>0.10287242519839757</v>
      </c>
      <c r="O2" s="71">
        <f t="shared" ref="O2:O42" si="4">I2-F2</f>
        <v>12192744.242543854</v>
      </c>
      <c r="P2" s="71"/>
      <c r="Q2" s="71"/>
      <c r="R2" s="71"/>
      <c r="S2" s="71"/>
      <c r="T2" s="71"/>
    </row>
    <row r="3" spans="1:22" x14ac:dyDescent="0.35">
      <c r="A3" s="75">
        <f t="shared" ref="A3:A22" si="5">A2+1</f>
        <v>1993</v>
      </c>
      <c r="B3" s="88">
        <v>1982</v>
      </c>
      <c r="C3" s="71">
        <v>13370780</v>
      </c>
      <c r="D3" s="77"/>
      <c r="E3" s="71">
        <v>668</v>
      </c>
      <c r="F3" s="71">
        <v>0</v>
      </c>
      <c r="G3" s="71">
        <f t="shared" si="0"/>
        <v>13370112</v>
      </c>
      <c r="H3" s="71">
        <f>G3*L3</f>
        <v>11542417.6896</v>
      </c>
      <c r="I3" s="71">
        <f t="shared" si="1"/>
        <v>11542417.6896</v>
      </c>
      <c r="J3" s="71">
        <f t="shared" si="2"/>
        <v>1827694.3103999998</v>
      </c>
      <c r="K3" s="71">
        <f t="shared" si="3"/>
        <v>1828362.3103999998</v>
      </c>
      <c r="L3" s="78">
        <f>ROUND(I2/C2,4)</f>
        <v>0.86329999999999996</v>
      </c>
      <c r="M3" s="78">
        <f t="shared" ref="M3:M42" si="6">1-L3</f>
        <v>0.13670000000000004</v>
      </c>
      <c r="O3" s="71">
        <f t="shared" si="4"/>
        <v>11542417.6896</v>
      </c>
      <c r="P3" s="71"/>
      <c r="Q3" s="71"/>
      <c r="R3" s="71"/>
      <c r="S3" s="71"/>
      <c r="T3" s="71"/>
    </row>
    <row r="4" spans="1:22" x14ac:dyDescent="0.35">
      <c r="A4" s="75">
        <f t="shared" si="5"/>
        <v>1994</v>
      </c>
      <c r="B4" s="88">
        <v>1982</v>
      </c>
      <c r="C4" s="71">
        <v>13292330</v>
      </c>
      <c r="D4" s="77"/>
      <c r="E4" s="71">
        <v>139516</v>
      </c>
      <c r="F4" s="71">
        <v>0</v>
      </c>
      <c r="G4" s="71">
        <f t="shared" si="0"/>
        <v>13152814</v>
      </c>
      <c r="H4" s="71">
        <f>G4*L4</f>
        <v>11354824.326199999</v>
      </c>
      <c r="I4" s="71">
        <f t="shared" si="1"/>
        <v>11354824.326199999</v>
      </c>
      <c r="J4" s="71">
        <f t="shared" si="2"/>
        <v>1797989.6738000009</v>
      </c>
      <c r="K4" s="71">
        <f t="shared" si="3"/>
        <v>1937505.6738000009</v>
      </c>
      <c r="L4" s="78">
        <f>ROUND(I3/C3,4)</f>
        <v>0.86329999999999996</v>
      </c>
      <c r="M4" s="78">
        <f t="shared" si="6"/>
        <v>0.13670000000000004</v>
      </c>
      <c r="O4" s="71">
        <f t="shared" si="4"/>
        <v>11354824.326199999</v>
      </c>
      <c r="P4" s="71"/>
      <c r="Q4" s="71"/>
      <c r="R4" s="71"/>
      <c r="S4" s="71"/>
      <c r="T4" s="71"/>
    </row>
    <row r="5" spans="1:22" x14ac:dyDescent="0.35">
      <c r="A5" s="75">
        <f t="shared" si="5"/>
        <v>1995</v>
      </c>
      <c r="B5" s="88">
        <v>1982</v>
      </c>
      <c r="C5" s="71">
        <v>12815956</v>
      </c>
      <c r="D5" s="77"/>
      <c r="E5" s="71">
        <v>48260</v>
      </c>
      <c r="F5" s="71">
        <v>0</v>
      </c>
      <c r="G5" s="71">
        <f t="shared" si="0"/>
        <v>12767696</v>
      </c>
      <c r="H5" s="71">
        <f>ROUNDDOWN(G5*L5,0)</f>
        <v>10906661</v>
      </c>
      <c r="I5" s="71">
        <f t="shared" si="1"/>
        <v>10906661</v>
      </c>
      <c r="J5" s="71">
        <f t="shared" si="2"/>
        <v>1861035</v>
      </c>
      <c r="K5" s="71">
        <f t="shared" si="3"/>
        <v>1909295</v>
      </c>
      <c r="L5" s="78">
        <f t="shared" ref="L5:L22" si="7">I4/C4</f>
        <v>0.85423882240359661</v>
      </c>
      <c r="M5" s="78">
        <f t="shared" si="6"/>
        <v>0.14576117759640339</v>
      </c>
      <c r="O5" s="71">
        <f t="shared" si="4"/>
        <v>10906661</v>
      </c>
      <c r="P5" s="71"/>
      <c r="Q5" s="71"/>
      <c r="R5" s="71"/>
      <c r="S5" s="71"/>
      <c r="T5" s="71"/>
    </row>
    <row r="6" spans="1:22" x14ac:dyDescent="0.35">
      <c r="A6" s="75">
        <f t="shared" si="5"/>
        <v>1996</v>
      </c>
      <c r="B6" s="88">
        <v>1982</v>
      </c>
      <c r="C6" s="71">
        <v>13668290</v>
      </c>
      <c r="D6" s="77"/>
      <c r="E6" s="71">
        <v>501350</v>
      </c>
      <c r="F6" s="71">
        <v>0</v>
      </c>
      <c r="G6" s="71">
        <f t="shared" si="0"/>
        <v>13166940</v>
      </c>
      <c r="H6" s="71">
        <f>G6*L6</f>
        <v>11205356.119148662</v>
      </c>
      <c r="I6" s="71">
        <f t="shared" si="1"/>
        <v>11205356.119148662</v>
      </c>
      <c r="J6" s="71">
        <f t="shared" si="2"/>
        <v>1961583.8808513377</v>
      </c>
      <c r="K6" s="71">
        <f t="shared" si="3"/>
        <v>2462933.8808513377</v>
      </c>
      <c r="L6" s="78">
        <f t="shared" si="7"/>
        <v>0.85102203846517577</v>
      </c>
      <c r="M6" s="78">
        <f t="shared" si="6"/>
        <v>0.14897796153482423</v>
      </c>
      <c r="O6" s="71">
        <f t="shared" si="4"/>
        <v>11205356.119148662</v>
      </c>
      <c r="P6" s="71"/>
      <c r="Q6" s="71"/>
      <c r="R6" s="71"/>
      <c r="S6" s="71"/>
      <c r="T6" s="71"/>
    </row>
    <row r="7" spans="1:22" x14ac:dyDescent="0.35">
      <c r="A7" s="75">
        <f t="shared" si="5"/>
        <v>1997</v>
      </c>
      <c r="B7" s="88">
        <v>1982</v>
      </c>
      <c r="C7" s="71">
        <v>24650580</v>
      </c>
      <c r="D7" s="77"/>
      <c r="E7" s="71">
        <v>760160</v>
      </c>
      <c r="F7" s="71">
        <v>11465240</v>
      </c>
      <c r="G7" s="71">
        <f t="shared" si="0"/>
        <v>12425180</v>
      </c>
      <c r="H7" s="71">
        <f>G7*L7</f>
        <v>10186246.17596814</v>
      </c>
      <c r="I7" s="71">
        <f t="shared" si="1"/>
        <v>21651486.17596814</v>
      </c>
      <c r="J7" s="71">
        <f t="shared" si="2"/>
        <v>2238933.8240318596</v>
      </c>
      <c r="K7" s="71">
        <f t="shared" si="3"/>
        <v>2999093.8240318596</v>
      </c>
      <c r="L7" s="78">
        <f t="shared" si="7"/>
        <v>0.81980672923596609</v>
      </c>
      <c r="M7" s="78">
        <f t="shared" si="6"/>
        <v>0.18019327076403391</v>
      </c>
      <c r="O7" s="71">
        <f t="shared" si="4"/>
        <v>10186246.17596814</v>
      </c>
      <c r="P7" s="71"/>
      <c r="Q7" s="71"/>
      <c r="R7" s="71"/>
      <c r="S7" s="71"/>
      <c r="T7" s="71"/>
    </row>
    <row r="8" spans="1:22" x14ac:dyDescent="0.35">
      <c r="A8" s="75">
        <f t="shared" si="5"/>
        <v>1998</v>
      </c>
      <c r="B8" s="88">
        <v>1982</v>
      </c>
      <c r="C8" s="71">
        <v>26709570</v>
      </c>
      <c r="D8" s="77"/>
      <c r="E8" s="71">
        <v>628260</v>
      </c>
      <c r="F8" s="71">
        <v>589550</v>
      </c>
      <c r="G8" s="71">
        <f t="shared" si="0"/>
        <v>25491760</v>
      </c>
      <c r="H8" s="71">
        <f>G8*L8</f>
        <v>22390324.659342606</v>
      </c>
      <c r="I8" s="71">
        <f t="shared" si="1"/>
        <v>22979874.659342606</v>
      </c>
      <c r="J8" s="71">
        <f t="shared" si="2"/>
        <v>3101435.3406573944</v>
      </c>
      <c r="K8" s="71">
        <f t="shared" si="3"/>
        <v>3729695.3406573944</v>
      </c>
      <c r="L8" s="78">
        <f t="shared" si="7"/>
        <v>0.87833577043494071</v>
      </c>
      <c r="M8" s="78">
        <f t="shared" si="6"/>
        <v>0.12166422956505929</v>
      </c>
      <c r="O8" s="71">
        <f t="shared" si="4"/>
        <v>22390324.659342606</v>
      </c>
      <c r="P8" s="71"/>
      <c r="Q8" s="71"/>
      <c r="R8" s="71"/>
      <c r="S8" s="71"/>
      <c r="T8" s="71"/>
    </row>
    <row r="9" spans="1:22" x14ac:dyDescent="0.35">
      <c r="A9" s="75">
        <f t="shared" si="5"/>
        <v>1999</v>
      </c>
      <c r="B9" s="88">
        <v>1982</v>
      </c>
      <c r="C9" s="71">
        <v>26359210</v>
      </c>
      <c r="D9" s="77"/>
      <c r="E9" s="71">
        <v>629556</v>
      </c>
      <c r="F9" s="71">
        <v>0</v>
      </c>
      <c r="G9" s="71">
        <f t="shared" si="0"/>
        <v>25729654</v>
      </c>
      <c r="H9" s="71">
        <f>G9*L9</f>
        <v>22136793.065116853</v>
      </c>
      <c r="I9" s="71">
        <f t="shared" si="1"/>
        <v>22136793.065116853</v>
      </c>
      <c r="J9" s="71">
        <f t="shared" si="2"/>
        <v>3592860.9348831475</v>
      </c>
      <c r="K9" s="71">
        <f t="shared" si="3"/>
        <v>4222416.9348831475</v>
      </c>
      <c r="L9" s="78">
        <f t="shared" si="7"/>
        <v>0.86036108628265473</v>
      </c>
      <c r="M9" s="78">
        <f t="shared" si="6"/>
        <v>0.13963891371734527</v>
      </c>
      <c r="O9" s="71">
        <f t="shared" si="4"/>
        <v>22136793.065116853</v>
      </c>
      <c r="P9" s="71"/>
      <c r="Q9" s="71"/>
      <c r="R9" s="71"/>
      <c r="S9" s="71"/>
      <c r="T9" s="71"/>
    </row>
    <row r="10" spans="1:22" x14ac:dyDescent="0.35">
      <c r="A10" s="75">
        <f t="shared" si="5"/>
        <v>2000</v>
      </c>
      <c r="B10" s="88">
        <v>1982</v>
      </c>
      <c r="C10" s="71">
        <v>30236420</v>
      </c>
      <c r="D10" s="77"/>
      <c r="E10" s="71">
        <v>706420</v>
      </c>
      <c r="F10" s="71">
        <v>0</v>
      </c>
      <c r="G10" s="71">
        <f t="shared" si="0"/>
        <v>29530000</v>
      </c>
      <c r="H10" s="71">
        <f>G10*L10</f>
        <v>24799662.023744289</v>
      </c>
      <c r="I10" s="71">
        <f t="shared" si="1"/>
        <v>24799662.023744289</v>
      </c>
      <c r="J10" s="71">
        <f t="shared" si="2"/>
        <v>4730337.9762557112</v>
      </c>
      <c r="K10" s="71">
        <f t="shared" si="3"/>
        <v>5436757.9762557112</v>
      </c>
      <c r="L10" s="78">
        <f t="shared" si="7"/>
        <v>0.83981246270722276</v>
      </c>
      <c r="M10" s="78">
        <f t="shared" si="6"/>
        <v>0.16018753729277724</v>
      </c>
      <c r="O10" s="71">
        <f t="shared" si="4"/>
        <v>24799662.023744289</v>
      </c>
      <c r="P10" s="71"/>
      <c r="Q10" s="71"/>
      <c r="R10" s="71"/>
      <c r="S10" s="71"/>
      <c r="T10" s="71"/>
    </row>
    <row r="11" spans="1:22" x14ac:dyDescent="0.35">
      <c r="A11" s="75">
        <f t="shared" si="5"/>
        <v>2001</v>
      </c>
      <c r="B11" s="88">
        <v>1982</v>
      </c>
      <c r="C11" s="71">
        <v>30872560</v>
      </c>
      <c r="D11" s="77"/>
      <c r="E11" s="71">
        <v>0</v>
      </c>
      <c r="F11" s="71">
        <v>0</v>
      </c>
      <c r="G11" s="71">
        <f t="shared" si="0"/>
        <v>30872560</v>
      </c>
      <c r="H11" s="71">
        <v>24742780</v>
      </c>
      <c r="I11" s="71">
        <f t="shared" si="1"/>
        <v>24742780</v>
      </c>
      <c r="J11" s="71">
        <f t="shared" si="2"/>
        <v>6129780</v>
      </c>
      <c r="K11" s="71">
        <f t="shared" si="3"/>
        <v>6129780</v>
      </c>
      <c r="L11" s="78">
        <f t="shared" si="7"/>
        <v>0.8201917430616551</v>
      </c>
      <c r="M11" s="78">
        <f t="shared" si="6"/>
        <v>0.1798082569383449</v>
      </c>
      <c r="O11" s="71">
        <f t="shared" si="4"/>
        <v>24742780</v>
      </c>
      <c r="P11" s="71"/>
      <c r="Q11" s="71"/>
      <c r="R11" s="71"/>
      <c r="S11" s="71"/>
      <c r="T11" s="71"/>
    </row>
    <row r="12" spans="1:22" x14ac:dyDescent="0.35">
      <c r="A12" s="75">
        <f t="shared" si="5"/>
        <v>2002</v>
      </c>
      <c r="B12" s="88">
        <v>1982</v>
      </c>
      <c r="C12" s="71">
        <v>33055890</v>
      </c>
      <c r="D12" s="77"/>
      <c r="E12" s="71">
        <v>1612860</v>
      </c>
      <c r="F12" s="71">
        <v>0</v>
      </c>
      <c r="G12" s="71">
        <f t="shared" si="0"/>
        <v>31443030</v>
      </c>
      <c r="H12" s="71">
        <v>25209046</v>
      </c>
      <c r="I12" s="71">
        <f t="shared" si="1"/>
        <v>25209046</v>
      </c>
      <c r="J12" s="71">
        <f t="shared" si="2"/>
        <v>6233984</v>
      </c>
      <c r="K12" s="71">
        <f t="shared" si="3"/>
        <v>7846844</v>
      </c>
      <c r="L12" s="78">
        <f t="shared" si="7"/>
        <v>0.80144892422267544</v>
      </c>
      <c r="M12" s="78">
        <f t="shared" si="6"/>
        <v>0.19855107577732456</v>
      </c>
      <c r="O12" s="71">
        <f t="shared" si="4"/>
        <v>25209046</v>
      </c>
      <c r="P12" s="71"/>
      <c r="Q12" s="71"/>
      <c r="R12" s="71"/>
      <c r="S12" s="71"/>
      <c r="T12" s="71"/>
    </row>
    <row r="13" spans="1:22" x14ac:dyDescent="0.35">
      <c r="A13" s="75">
        <f t="shared" si="5"/>
        <v>2003</v>
      </c>
      <c r="B13" s="88">
        <v>1982</v>
      </c>
      <c r="C13" s="71">
        <v>37656830</v>
      </c>
      <c r="D13" s="77"/>
      <c r="E13" s="71">
        <v>0</v>
      </c>
      <c r="F13" s="71">
        <v>0</v>
      </c>
      <c r="G13" s="71">
        <f t="shared" si="0"/>
        <v>37656830</v>
      </c>
      <c r="H13" s="71">
        <v>26595720</v>
      </c>
      <c r="I13" s="71">
        <f t="shared" si="1"/>
        <v>26595720</v>
      </c>
      <c r="J13" s="71">
        <f t="shared" si="2"/>
        <v>11061110</v>
      </c>
      <c r="K13" s="71">
        <f t="shared" si="3"/>
        <v>11061110</v>
      </c>
      <c r="L13" s="78">
        <f t="shared" si="7"/>
        <v>0.76261888577194559</v>
      </c>
      <c r="M13" s="78">
        <f t="shared" si="6"/>
        <v>0.23738111422805441</v>
      </c>
      <c r="O13" s="71">
        <f t="shared" si="4"/>
        <v>26595720</v>
      </c>
      <c r="P13" s="71"/>
      <c r="Q13" s="71"/>
      <c r="R13" s="71"/>
      <c r="S13" s="71"/>
      <c r="T13" s="71"/>
    </row>
    <row r="14" spans="1:22" x14ac:dyDescent="0.35">
      <c r="A14" s="75">
        <f t="shared" si="5"/>
        <v>2004</v>
      </c>
      <c r="B14" s="88">
        <v>1982</v>
      </c>
      <c r="C14" s="71">
        <v>37028160</v>
      </c>
      <c r="D14" s="77"/>
      <c r="E14" s="71">
        <v>687520</v>
      </c>
      <c r="F14" s="71">
        <v>0</v>
      </c>
      <c r="G14" s="71">
        <f t="shared" si="0"/>
        <v>36340640</v>
      </c>
      <c r="H14" s="71">
        <f>G14*L14</f>
        <v>25666140.406954065</v>
      </c>
      <c r="I14" s="71">
        <f t="shared" si="1"/>
        <v>25666140.406954065</v>
      </c>
      <c r="J14" s="71">
        <f t="shared" si="2"/>
        <v>10674499.593045935</v>
      </c>
      <c r="K14" s="71">
        <f t="shared" si="3"/>
        <v>11362019.593045935</v>
      </c>
      <c r="L14" s="78">
        <f t="shared" si="7"/>
        <v>0.70626550349564743</v>
      </c>
      <c r="M14" s="78">
        <f t="shared" si="6"/>
        <v>0.29373449650435257</v>
      </c>
      <c r="O14" s="71">
        <f t="shared" si="4"/>
        <v>25666140.406954065</v>
      </c>
      <c r="P14" s="71"/>
      <c r="Q14" s="71"/>
      <c r="R14" s="71"/>
      <c r="S14" s="71"/>
      <c r="T14" s="71"/>
    </row>
    <row r="15" spans="1:22" x14ac:dyDescent="0.35">
      <c r="A15" s="75">
        <f t="shared" si="5"/>
        <v>2005</v>
      </c>
      <c r="B15" s="88">
        <v>1982</v>
      </c>
      <c r="C15" s="71">
        <v>37927480</v>
      </c>
      <c r="D15" s="77"/>
      <c r="E15" s="71">
        <v>0</v>
      </c>
      <c r="F15" s="71">
        <v>0</v>
      </c>
      <c r="G15" s="71">
        <f t="shared" si="0"/>
        <v>37927480</v>
      </c>
      <c r="H15" s="71">
        <v>25592840</v>
      </c>
      <c r="I15" s="71">
        <f t="shared" si="1"/>
        <v>25592840</v>
      </c>
      <c r="J15" s="71">
        <f t="shared" si="2"/>
        <v>12334640</v>
      </c>
      <c r="K15" s="71">
        <f t="shared" si="3"/>
        <v>12334640</v>
      </c>
      <c r="L15" s="78">
        <f t="shared" si="7"/>
        <v>0.69315192564129746</v>
      </c>
      <c r="M15" s="78">
        <f t="shared" si="6"/>
        <v>0.30684807435870254</v>
      </c>
      <c r="O15" s="71">
        <f t="shared" si="4"/>
        <v>25592840</v>
      </c>
      <c r="P15" s="71"/>
      <c r="Q15" s="71"/>
      <c r="R15" s="71"/>
      <c r="S15" s="71"/>
      <c r="T15" s="71"/>
    </row>
    <row r="16" spans="1:22" x14ac:dyDescent="0.35">
      <c r="A16" s="75">
        <f t="shared" si="5"/>
        <v>2006</v>
      </c>
      <c r="B16" s="88">
        <v>1982</v>
      </c>
      <c r="C16" s="71">
        <v>41742240</v>
      </c>
      <c r="D16" s="77"/>
      <c r="E16" s="71">
        <v>1322682</v>
      </c>
      <c r="F16" s="71">
        <v>0</v>
      </c>
      <c r="G16" s="71">
        <f t="shared" si="0"/>
        <v>40419558</v>
      </c>
      <c r="H16" s="71">
        <v>27274453</v>
      </c>
      <c r="I16" s="71">
        <v>27274450</v>
      </c>
      <c r="J16" s="71">
        <f t="shared" si="2"/>
        <v>13145105</v>
      </c>
      <c r="K16" s="71">
        <f>E16+J16+3</f>
        <v>14467790</v>
      </c>
      <c r="L16" s="78">
        <f t="shared" si="7"/>
        <v>0.67478356062675404</v>
      </c>
      <c r="M16" s="78">
        <f t="shared" si="6"/>
        <v>0.32521643937324596</v>
      </c>
      <c r="O16" s="71">
        <f t="shared" si="4"/>
        <v>27274450</v>
      </c>
      <c r="P16" s="71"/>
      <c r="Q16" s="71"/>
      <c r="R16" s="71"/>
      <c r="S16" s="71"/>
      <c r="T16" s="71"/>
    </row>
    <row r="17" spans="1:21" x14ac:dyDescent="0.35">
      <c r="A17" s="75">
        <f t="shared" si="5"/>
        <v>2007</v>
      </c>
      <c r="B17" s="88">
        <v>1982</v>
      </c>
      <c r="C17" s="71">
        <v>42179290</v>
      </c>
      <c r="D17" s="77"/>
      <c r="E17" s="71">
        <v>0</v>
      </c>
      <c r="F17" s="71">
        <v>0</v>
      </c>
      <c r="G17" s="71">
        <f t="shared" si="0"/>
        <v>42179290</v>
      </c>
      <c r="H17" s="71">
        <v>27274450</v>
      </c>
      <c r="I17" s="71">
        <f t="shared" ref="I17:I32" si="8">C17-K17</f>
        <v>27274450</v>
      </c>
      <c r="J17" s="71">
        <f t="shared" si="2"/>
        <v>14904840</v>
      </c>
      <c r="K17" s="71">
        <f>E17+J17</f>
        <v>14904840</v>
      </c>
      <c r="L17" s="78">
        <f t="shared" si="7"/>
        <v>0.65340168615771455</v>
      </c>
      <c r="M17" s="78">
        <f t="shared" si="6"/>
        <v>0.34659831384228545</v>
      </c>
      <c r="O17" s="71">
        <f t="shared" si="4"/>
        <v>27274450</v>
      </c>
      <c r="P17" s="71"/>
      <c r="Q17" s="71"/>
      <c r="R17" s="71"/>
      <c r="S17" s="71"/>
      <c r="T17" s="71"/>
    </row>
    <row r="18" spans="1:21" x14ac:dyDescent="0.35">
      <c r="A18" s="75">
        <f t="shared" si="5"/>
        <v>2008</v>
      </c>
      <c r="B18" s="88">
        <v>1982</v>
      </c>
      <c r="C18" s="71">
        <v>63057110</v>
      </c>
      <c r="D18" s="77"/>
      <c r="E18" s="71">
        <v>841564</v>
      </c>
      <c r="F18" s="71">
        <v>0</v>
      </c>
      <c r="G18" s="71">
        <f t="shared" si="0"/>
        <v>62215546</v>
      </c>
      <c r="H18" s="71">
        <v>40228570</v>
      </c>
      <c r="I18" s="71">
        <f t="shared" si="8"/>
        <v>40228570</v>
      </c>
      <c r="J18" s="71">
        <f t="shared" si="2"/>
        <v>21986976</v>
      </c>
      <c r="K18" s="71">
        <f>E18+J18</f>
        <v>22828540</v>
      </c>
      <c r="L18" s="78">
        <f t="shared" si="7"/>
        <v>0.64663132072635643</v>
      </c>
      <c r="M18" s="78">
        <f t="shared" si="6"/>
        <v>0.35336867927364357</v>
      </c>
      <c r="O18" s="71">
        <f t="shared" si="4"/>
        <v>40228570</v>
      </c>
      <c r="P18" s="71"/>
      <c r="Q18" s="71"/>
      <c r="R18" s="71"/>
      <c r="S18" s="71"/>
      <c r="T18" s="71"/>
    </row>
    <row r="19" spans="1:21" x14ac:dyDescent="0.35">
      <c r="A19" s="75">
        <f t="shared" si="5"/>
        <v>2009</v>
      </c>
      <c r="B19" s="88">
        <v>1982</v>
      </c>
      <c r="C19" s="71">
        <v>64940480</v>
      </c>
      <c r="D19" s="77"/>
      <c r="E19" s="71">
        <v>0</v>
      </c>
      <c r="F19" s="71">
        <v>0</v>
      </c>
      <c r="G19" s="71">
        <f t="shared" si="0"/>
        <v>64940480</v>
      </c>
      <c r="H19" s="71">
        <v>40228570</v>
      </c>
      <c r="I19" s="71">
        <f t="shared" si="8"/>
        <v>40228570</v>
      </c>
      <c r="J19" s="71">
        <f t="shared" si="2"/>
        <v>24711910</v>
      </c>
      <c r="K19" s="71">
        <f>E19+J19</f>
        <v>24711910</v>
      </c>
      <c r="L19" s="78">
        <f t="shared" si="7"/>
        <v>0.63797040492340995</v>
      </c>
      <c r="M19" s="78">
        <f t="shared" si="6"/>
        <v>0.36202959507659005</v>
      </c>
      <c r="O19" s="71">
        <f t="shared" si="4"/>
        <v>40228570</v>
      </c>
      <c r="P19" s="71"/>
      <c r="Q19" s="71"/>
      <c r="R19" s="71"/>
      <c r="S19" s="71"/>
      <c r="T19" s="71"/>
    </row>
    <row r="20" spans="1:21" x14ac:dyDescent="0.35">
      <c r="A20" s="75">
        <f t="shared" si="5"/>
        <v>2010</v>
      </c>
      <c r="B20" s="88">
        <v>1982</v>
      </c>
      <c r="C20" s="71">
        <v>71178890</v>
      </c>
      <c r="D20" s="77"/>
      <c r="E20" s="71">
        <f>2332230-F20</f>
        <v>2332230</v>
      </c>
      <c r="F20" s="71">
        <v>0</v>
      </c>
      <c r="G20" s="71">
        <f t="shared" si="0"/>
        <v>68846660</v>
      </c>
      <c r="H20" s="71">
        <f>G20*L20-5</f>
        <v>42648319.759475142</v>
      </c>
      <c r="I20" s="71">
        <f t="shared" si="8"/>
        <v>42648319.759475142</v>
      </c>
      <c r="J20" s="71">
        <f t="shared" si="2"/>
        <v>26198340.240524858</v>
      </c>
      <c r="K20" s="71">
        <f>E20+J20+F20</f>
        <v>28530570.240524858</v>
      </c>
      <c r="L20" s="78">
        <f t="shared" si="7"/>
        <v>0.61946831929791712</v>
      </c>
      <c r="M20" s="78">
        <f t="shared" si="6"/>
        <v>0.38053168070208288</v>
      </c>
      <c r="O20" s="71">
        <f t="shared" si="4"/>
        <v>42648319.759475142</v>
      </c>
      <c r="P20" s="71"/>
      <c r="Q20" s="71"/>
      <c r="R20" s="71"/>
      <c r="S20" s="71"/>
      <c r="T20" s="71"/>
    </row>
    <row r="21" spans="1:21" x14ac:dyDescent="0.35">
      <c r="A21" s="75">
        <f t="shared" si="5"/>
        <v>2011</v>
      </c>
      <c r="B21" s="88">
        <v>1982</v>
      </c>
      <c r="C21" s="71">
        <v>70541430</v>
      </c>
      <c r="D21" s="77"/>
      <c r="E21" s="71">
        <v>0</v>
      </c>
      <c r="F21" s="71">
        <v>0</v>
      </c>
      <c r="G21" s="71">
        <f t="shared" si="0"/>
        <v>70541430</v>
      </c>
      <c r="H21" s="71">
        <v>42648320</v>
      </c>
      <c r="I21" s="71">
        <f t="shared" si="8"/>
        <v>42648320</v>
      </c>
      <c r="J21" s="71">
        <f t="shared" si="2"/>
        <v>27893110</v>
      </c>
      <c r="K21" s="71">
        <f t="shared" ref="K21:K42" si="9">E21+J21</f>
        <v>27893110</v>
      </c>
      <c r="L21" s="78">
        <f t="shared" si="7"/>
        <v>0.59917090248913885</v>
      </c>
      <c r="M21" s="78">
        <f t="shared" si="6"/>
        <v>0.40082909751086115</v>
      </c>
      <c r="N21" s="71"/>
      <c r="O21" s="71">
        <f t="shared" si="4"/>
        <v>42648320</v>
      </c>
      <c r="P21" s="71"/>
      <c r="Q21" s="71"/>
      <c r="R21" s="71"/>
      <c r="S21" s="71"/>
      <c r="T21" s="71"/>
      <c r="U21" s="71"/>
    </row>
    <row r="22" spans="1:21" x14ac:dyDescent="0.35">
      <c r="A22" s="75">
        <f t="shared" si="5"/>
        <v>2012</v>
      </c>
      <c r="B22" s="88">
        <v>1982</v>
      </c>
      <c r="C22" s="71">
        <v>61726690</v>
      </c>
      <c r="D22" s="77"/>
      <c r="E22" s="71">
        <v>413570</v>
      </c>
      <c r="F22" s="71">
        <v>0</v>
      </c>
      <c r="G22" s="71">
        <f t="shared" si="0"/>
        <v>61313120</v>
      </c>
      <c r="H22" s="71">
        <v>37229610</v>
      </c>
      <c r="I22" s="71">
        <f t="shared" si="8"/>
        <v>37229610</v>
      </c>
      <c r="J22" s="71">
        <f t="shared" si="2"/>
        <v>24083510</v>
      </c>
      <c r="K22" s="71">
        <f t="shared" si="9"/>
        <v>24497080</v>
      </c>
      <c r="L22" s="78">
        <f t="shared" si="7"/>
        <v>0.60458541880991068</v>
      </c>
      <c r="M22" s="78">
        <f t="shared" si="6"/>
        <v>0.39541458119008932</v>
      </c>
      <c r="N22" s="71"/>
      <c r="O22" s="71">
        <f t="shared" si="4"/>
        <v>37229610</v>
      </c>
      <c r="P22" s="71"/>
      <c r="Q22" s="71"/>
      <c r="R22" s="71"/>
      <c r="S22" s="71"/>
      <c r="T22" s="71"/>
      <c r="U22" s="71"/>
    </row>
    <row r="23" spans="1:21" x14ac:dyDescent="0.35">
      <c r="A23" s="70">
        <v>2013</v>
      </c>
      <c r="B23" s="89">
        <v>1992</v>
      </c>
      <c r="C23" s="72">
        <v>62636290</v>
      </c>
      <c r="D23" s="77"/>
      <c r="E23" s="71">
        <v>0</v>
      </c>
      <c r="F23" s="71">
        <v>0</v>
      </c>
      <c r="G23" s="71">
        <f t="shared" si="0"/>
        <v>62636290</v>
      </c>
      <c r="H23" s="71">
        <v>41891570</v>
      </c>
      <c r="I23" s="71">
        <f t="shared" si="8"/>
        <v>41891570</v>
      </c>
      <c r="J23" s="71">
        <f t="shared" si="2"/>
        <v>20744720</v>
      </c>
      <c r="K23" s="71">
        <f t="shared" si="9"/>
        <v>20744720</v>
      </c>
      <c r="L23" s="78">
        <v>0.67816426889783898</v>
      </c>
      <c r="M23" s="78">
        <f t="shared" si="6"/>
        <v>0.32183573110216102</v>
      </c>
      <c r="N23" s="71">
        <f>C2</f>
        <v>14124082</v>
      </c>
      <c r="O23" s="71">
        <f t="shared" si="4"/>
        <v>41891570</v>
      </c>
      <c r="P23" s="71"/>
      <c r="Q23" s="71"/>
      <c r="R23" s="71"/>
      <c r="S23" s="71"/>
      <c r="T23" s="71"/>
      <c r="U23" s="71"/>
    </row>
    <row r="24" spans="1:21" x14ac:dyDescent="0.35">
      <c r="A24" s="70">
        <v>2014</v>
      </c>
      <c r="B24" s="89">
        <v>1992</v>
      </c>
      <c r="C24" s="72">
        <v>62864320</v>
      </c>
      <c r="D24" s="77"/>
      <c r="E24" s="71">
        <v>1090810</v>
      </c>
      <c r="F24" s="71">
        <v>0</v>
      </c>
      <c r="G24" s="71">
        <f t="shared" si="0"/>
        <v>61773510</v>
      </c>
      <c r="H24" s="71">
        <f>G24*L24-7</f>
        <v>41314529.96109236</v>
      </c>
      <c r="I24" s="71">
        <f t="shared" si="8"/>
        <v>41314529.96109236</v>
      </c>
      <c r="J24" s="71">
        <f t="shared" si="2"/>
        <v>20458980.03890764</v>
      </c>
      <c r="K24" s="71">
        <f t="shared" si="9"/>
        <v>21549790.03890764</v>
      </c>
      <c r="L24" s="78">
        <f t="shared" ref="L24:L42" si="10">I23/C23</f>
        <v>0.66880669337216492</v>
      </c>
      <c r="M24" s="78">
        <f t="shared" si="6"/>
        <v>0.33119330662783508</v>
      </c>
      <c r="N24" s="71">
        <f t="shared" ref="N24:N32" si="11">N23</f>
        <v>14124082</v>
      </c>
      <c r="O24" s="71">
        <f t="shared" si="4"/>
        <v>41314529.96109236</v>
      </c>
      <c r="P24" s="71"/>
      <c r="Q24" s="71"/>
      <c r="R24" s="71"/>
      <c r="S24" s="71"/>
      <c r="T24" s="71"/>
      <c r="U24" s="71"/>
    </row>
    <row r="25" spans="1:21" x14ac:dyDescent="0.35">
      <c r="A25" s="70">
        <v>2015</v>
      </c>
      <c r="B25" s="89">
        <v>1992</v>
      </c>
      <c r="C25" s="72">
        <v>61506500</v>
      </c>
      <c r="D25" s="77"/>
      <c r="E25" s="71">
        <v>0</v>
      </c>
      <c r="F25" s="71">
        <v>0</v>
      </c>
      <c r="G25" s="71">
        <f t="shared" si="0"/>
        <v>61506500</v>
      </c>
      <c r="H25" s="71">
        <v>41249053</v>
      </c>
      <c r="I25" s="71">
        <f t="shared" si="8"/>
        <v>41249053</v>
      </c>
      <c r="J25" s="71">
        <f t="shared" si="2"/>
        <v>20257447</v>
      </c>
      <c r="K25" s="71">
        <f t="shared" si="9"/>
        <v>20257447</v>
      </c>
      <c r="L25" s="78">
        <f t="shared" si="10"/>
        <v>0.65720157254691314</v>
      </c>
      <c r="M25" s="78">
        <f t="shared" si="6"/>
        <v>0.34279842745308686</v>
      </c>
      <c r="N25" s="71">
        <f t="shared" si="11"/>
        <v>14124082</v>
      </c>
      <c r="O25" s="71">
        <f t="shared" si="4"/>
        <v>41249053</v>
      </c>
      <c r="P25" s="71"/>
      <c r="Q25" s="71"/>
      <c r="R25" s="71"/>
      <c r="S25" s="71"/>
      <c r="T25" s="71"/>
      <c r="U25" s="71"/>
    </row>
    <row r="26" spans="1:21" x14ac:dyDescent="0.35">
      <c r="A26" s="70">
        <v>2016</v>
      </c>
      <c r="B26" s="89">
        <v>1992</v>
      </c>
      <c r="C26" s="72">
        <v>60171710</v>
      </c>
      <c r="D26" s="77"/>
      <c r="E26" s="71">
        <v>598030</v>
      </c>
      <c r="F26" s="71">
        <v>0</v>
      </c>
      <c r="G26" s="71">
        <f t="shared" si="0"/>
        <v>59573680</v>
      </c>
      <c r="H26" s="71">
        <f>G26*L26+4</f>
        <v>39952820.10439612</v>
      </c>
      <c r="I26" s="71">
        <f t="shared" si="8"/>
        <v>39952820.10439612</v>
      </c>
      <c r="J26" s="71">
        <f t="shared" si="2"/>
        <v>19620859.89560388</v>
      </c>
      <c r="K26" s="71">
        <f t="shared" si="9"/>
        <v>20218889.89560388</v>
      </c>
      <c r="L26" s="78">
        <f t="shared" si="10"/>
        <v>0.67064542771902158</v>
      </c>
      <c r="M26" s="78">
        <f t="shared" si="6"/>
        <v>0.32935457228097842</v>
      </c>
      <c r="N26" s="71">
        <f t="shared" si="11"/>
        <v>14124082</v>
      </c>
      <c r="O26" s="71">
        <f t="shared" si="4"/>
        <v>39952820.10439612</v>
      </c>
      <c r="P26" s="71"/>
      <c r="Q26" s="71"/>
      <c r="R26" s="71"/>
      <c r="S26" s="71"/>
      <c r="T26" s="71"/>
      <c r="U26" s="71"/>
    </row>
    <row r="27" spans="1:21" x14ac:dyDescent="0.35">
      <c r="A27" s="70">
        <v>2017</v>
      </c>
      <c r="B27" s="89">
        <v>1992</v>
      </c>
      <c r="C27" s="72">
        <v>59745260</v>
      </c>
      <c r="D27" s="77"/>
      <c r="E27" s="71">
        <v>0</v>
      </c>
      <c r="F27" s="71">
        <v>0</v>
      </c>
      <c r="G27" s="71">
        <f t="shared" si="0"/>
        <v>59745260</v>
      </c>
      <c r="H27" s="71">
        <v>40089242</v>
      </c>
      <c r="I27" s="71">
        <f t="shared" si="8"/>
        <v>40089242</v>
      </c>
      <c r="J27" s="71">
        <f t="shared" si="2"/>
        <v>19656018</v>
      </c>
      <c r="K27" s="71">
        <f t="shared" si="9"/>
        <v>19656018</v>
      </c>
      <c r="L27" s="78">
        <f t="shared" si="10"/>
        <v>0.6639801345914238</v>
      </c>
      <c r="M27" s="78">
        <f t="shared" si="6"/>
        <v>0.3360198654085762</v>
      </c>
      <c r="N27" s="71">
        <f t="shared" si="11"/>
        <v>14124082</v>
      </c>
      <c r="O27" s="71">
        <f t="shared" si="4"/>
        <v>40089242</v>
      </c>
      <c r="P27" s="71"/>
      <c r="Q27" s="71"/>
      <c r="R27" s="71"/>
      <c r="S27" s="71"/>
      <c r="T27" s="71"/>
      <c r="U27" s="71"/>
    </row>
    <row r="28" spans="1:21" x14ac:dyDescent="0.35">
      <c r="A28" s="70">
        <v>2018</v>
      </c>
      <c r="B28" s="89">
        <v>1992</v>
      </c>
      <c r="C28" s="72">
        <f>C27*(1+D28)+600000+F28</f>
        <v>61540165.200000003</v>
      </c>
      <c r="D28" s="77">
        <v>0.02</v>
      </c>
      <c r="E28" s="71">
        <f>C28-C27</f>
        <v>1794905.200000003</v>
      </c>
      <c r="F28" s="71">
        <v>0</v>
      </c>
      <c r="G28" s="71">
        <f t="shared" si="0"/>
        <v>59745260</v>
      </c>
      <c r="H28" s="71">
        <f>H27*(1+D28)</f>
        <v>40891026.840000004</v>
      </c>
      <c r="I28" s="71">
        <f t="shared" si="8"/>
        <v>40891026.840000004</v>
      </c>
      <c r="J28" s="71">
        <f t="shared" si="2"/>
        <v>18854233.159999996</v>
      </c>
      <c r="K28" s="71">
        <f t="shared" si="9"/>
        <v>20649138.359999999</v>
      </c>
      <c r="L28" s="78">
        <f t="shared" si="10"/>
        <v>0.67100288792784568</v>
      </c>
      <c r="M28" s="78">
        <f t="shared" si="6"/>
        <v>0.32899711207215432</v>
      </c>
      <c r="N28" s="71">
        <f t="shared" si="11"/>
        <v>14124082</v>
      </c>
      <c r="O28" s="71">
        <f t="shared" si="4"/>
        <v>40891026.840000004</v>
      </c>
      <c r="P28" s="71"/>
      <c r="Q28" s="71"/>
      <c r="R28" s="71"/>
      <c r="S28" s="71"/>
      <c r="T28" s="71"/>
      <c r="U28" s="71"/>
    </row>
    <row r="29" spans="1:21" x14ac:dyDescent="0.35">
      <c r="A29" s="70">
        <v>2019</v>
      </c>
      <c r="B29" s="89">
        <v>1992</v>
      </c>
      <c r="C29" s="72">
        <f t="shared" ref="C29:C41" si="12">C28*(1+D29)+E29+F29</f>
        <v>61540165.200000003</v>
      </c>
      <c r="D29" s="77">
        <v>0</v>
      </c>
      <c r="E29" s="71">
        <v>0</v>
      </c>
      <c r="F29" s="71">
        <v>0</v>
      </c>
      <c r="G29" s="71">
        <f t="shared" si="0"/>
        <v>61540165.200000003</v>
      </c>
      <c r="H29" s="71">
        <f t="shared" ref="H29:H32" si="13">H28*(1+D29)</f>
        <v>40891026.840000004</v>
      </c>
      <c r="I29" s="71">
        <f t="shared" si="8"/>
        <v>40891026.840000004</v>
      </c>
      <c r="J29" s="71">
        <f t="shared" si="2"/>
        <v>20649138.359999999</v>
      </c>
      <c r="K29" s="71">
        <f t="shared" si="9"/>
        <v>20649138.359999999</v>
      </c>
      <c r="L29" s="78">
        <f t="shared" si="10"/>
        <v>0.6644607908852348</v>
      </c>
      <c r="M29" s="78">
        <f t="shared" si="6"/>
        <v>0.3355392091147652</v>
      </c>
      <c r="N29" s="71">
        <f t="shared" si="11"/>
        <v>14124082</v>
      </c>
      <c r="O29" s="71">
        <f t="shared" si="4"/>
        <v>40891026.840000004</v>
      </c>
      <c r="P29" s="71"/>
      <c r="Q29" s="71"/>
      <c r="R29" s="71"/>
      <c r="S29" s="71"/>
      <c r="T29" s="71"/>
      <c r="U29" s="71"/>
    </row>
    <row r="30" spans="1:21" x14ac:dyDescent="0.35">
      <c r="A30" s="70">
        <v>2020</v>
      </c>
      <c r="B30" s="89">
        <v>1992</v>
      </c>
      <c r="C30" s="72">
        <f>C29*(1+D30)+600000+F30</f>
        <v>63370968.504000001</v>
      </c>
      <c r="D30" s="77">
        <v>0.02</v>
      </c>
      <c r="E30" s="71">
        <f>C30-C29</f>
        <v>1830803.3039999977</v>
      </c>
      <c r="F30" s="71">
        <v>0</v>
      </c>
      <c r="G30" s="71">
        <f t="shared" si="0"/>
        <v>61540165.200000003</v>
      </c>
      <c r="H30" s="71">
        <f t="shared" si="13"/>
        <v>41708847.376800001</v>
      </c>
      <c r="I30" s="71">
        <f t="shared" si="8"/>
        <v>41708847.376800001</v>
      </c>
      <c r="J30" s="71">
        <f t="shared" si="2"/>
        <v>19831317.823200002</v>
      </c>
      <c r="K30" s="71">
        <f t="shared" si="9"/>
        <v>21662121.1272</v>
      </c>
      <c r="L30" s="78">
        <f t="shared" si="10"/>
        <v>0.6644607908852348</v>
      </c>
      <c r="M30" s="78">
        <f t="shared" si="6"/>
        <v>0.3355392091147652</v>
      </c>
      <c r="N30" s="71">
        <f t="shared" si="11"/>
        <v>14124082</v>
      </c>
      <c r="O30" s="71">
        <f t="shared" si="4"/>
        <v>41708847.376800001</v>
      </c>
      <c r="P30" s="71"/>
      <c r="Q30" s="71"/>
      <c r="R30" s="71"/>
      <c r="S30" s="71"/>
      <c r="T30" s="71"/>
      <c r="U30" s="71"/>
    </row>
    <row r="31" spans="1:21" x14ac:dyDescent="0.35">
      <c r="A31" s="70">
        <v>2021</v>
      </c>
      <c r="B31" s="89">
        <v>1992</v>
      </c>
      <c r="C31" s="72">
        <f t="shared" si="12"/>
        <v>63370968.504000001</v>
      </c>
      <c r="D31" s="77">
        <v>0</v>
      </c>
      <c r="E31" s="71">
        <v>0</v>
      </c>
      <c r="F31" s="71">
        <v>0</v>
      </c>
      <c r="G31" s="71">
        <f t="shared" si="0"/>
        <v>63370968.504000001</v>
      </c>
      <c r="H31" s="71">
        <f t="shared" si="13"/>
        <v>41708847.376800001</v>
      </c>
      <c r="I31" s="71">
        <f t="shared" si="8"/>
        <v>41708847.376800001</v>
      </c>
      <c r="J31" s="71">
        <f t="shared" si="2"/>
        <v>21662121.1272</v>
      </c>
      <c r="K31" s="71">
        <f t="shared" si="9"/>
        <v>21662121.1272</v>
      </c>
      <c r="L31" s="78">
        <f t="shared" si="10"/>
        <v>0.65816963763410563</v>
      </c>
      <c r="M31" s="78">
        <f t="shared" si="6"/>
        <v>0.34183036236589437</v>
      </c>
      <c r="N31" s="71">
        <f t="shared" si="11"/>
        <v>14124082</v>
      </c>
      <c r="O31" s="71">
        <f t="shared" si="4"/>
        <v>41708847.376800001</v>
      </c>
      <c r="P31" s="71"/>
      <c r="Q31" s="71"/>
      <c r="R31" s="71"/>
      <c r="S31" s="71"/>
      <c r="T31" s="71"/>
      <c r="U31" s="71"/>
    </row>
    <row r="32" spans="1:21" x14ac:dyDescent="0.35">
      <c r="A32" s="11">
        <v>2022</v>
      </c>
      <c r="B32" s="90">
        <v>1992</v>
      </c>
      <c r="C32" s="79">
        <f t="shared" ref="C32" si="14">C31*(1+D32)+600000+F32</f>
        <v>65238387.874080002</v>
      </c>
      <c r="D32" s="80">
        <v>0.02</v>
      </c>
      <c r="E32" s="81">
        <f>C32-C31</f>
        <v>1867419.3700800017</v>
      </c>
      <c r="F32" s="81">
        <v>0</v>
      </c>
      <c r="G32" s="81">
        <f t="shared" si="0"/>
        <v>63370968.504000001</v>
      </c>
      <c r="H32" s="81">
        <f t="shared" si="13"/>
        <v>42543024.324336</v>
      </c>
      <c r="I32" s="81">
        <f t="shared" si="8"/>
        <v>42543024.324336</v>
      </c>
      <c r="J32" s="81">
        <f t="shared" si="2"/>
        <v>20827944.179664001</v>
      </c>
      <c r="K32" s="81">
        <f t="shared" si="9"/>
        <v>22695363.549744003</v>
      </c>
      <c r="L32" s="82">
        <f t="shared" si="10"/>
        <v>0.65816963763410563</v>
      </c>
      <c r="M32" s="82">
        <f t="shared" si="6"/>
        <v>0.34183036236589437</v>
      </c>
      <c r="N32" s="81">
        <f t="shared" si="11"/>
        <v>14124082</v>
      </c>
      <c r="O32" s="81">
        <f t="shared" si="4"/>
        <v>42543024.324336</v>
      </c>
      <c r="P32" s="92"/>
      <c r="Q32" s="92"/>
      <c r="R32" s="92"/>
      <c r="S32" s="92"/>
      <c r="T32" s="92"/>
      <c r="U32" s="92"/>
    </row>
    <row r="33" spans="1:22" x14ac:dyDescent="0.35">
      <c r="A33" s="83">
        <v>2023</v>
      </c>
      <c r="B33" s="91">
        <f t="shared" ref="B33:B42" si="15">B32+1</f>
        <v>1993</v>
      </c>
      <c r="C33" s="72">
        <f t="shared" si="12"/>
        <v>65238387.874080002</v>
      </c>
      <c r="D33" s="85">
        <v>0</v>
      </c>
      <c r="E33" s="84">
        <v>0</v>
      </c>
      <c r="F33" s="84">
        <v>0</v>
      </c>
      <c r="G33" s="84">
        <f t="shared" si="0"/>
        <v>65238387.874080002</v>
      </c>
      <c r="H33" s="84">
        <f t="shared" ref="H33:H42" si="16">G33*L33</f>
        <v>42543024.324336</v>
      </c>
      <c r="I33" s="84">
        <f t="shared" ref="I33:I42" si="17">V33</f>
        <v>45632069.915210702</v>
      </c>
      <c r="J33" s="84">
        <f t="shared" si="2"/>
        <v>22695363.549744003</v>
      </c>
      <c r="K33" s="84">
        <f t="shared" si="9"/>
        <v>22695363.549744003</v>
      </c>
      <c r="L33" s="86">
        <f t="shared" si="10"/>
        <v>0.65211642578370421</v>
      </c>
      <c r="M33" s="86">
        <f t="shared" si="6"/>
        <v>0.34788357421629579</v>
      </c>
      <c r="N33" s="84">
        <f>C3</f>
        <v>13370780</v>
      </c>
      <c r="O33" s="84">
        <f t="shared" si="4"/>
        <v>45632069.915210702</v>
      </c>
      <c r="P33" s="93">
        <f>$O$7/I2</f>
        <v>0.83543507296950537</v>
      </c>
      <c r="Q33" s="94">
        <f>P33*C2+$F$7</f>
        <v>23264993.476297278</v>
      </c>
      <c r="R33" s="93">
        <f>$O$8/I7</f>
        <v>1.0341241463689699</v>
      </c>
      <c r="S33" s="94">
        <f>Q33*R33+F8</f>
        <v>24648441.518955577</v>
      </c>
      <c r="T33" s="93">
        <f>I32/I8</f>
        <v>1.8513166392332727</v>
      </c>
      <c r="U33" s="94">
        <f t="shared" ref="U33:U38" si="18">S33*T33</f>
        <v>45632069.915210702</v>
      </c>
      <c r="V33" s="94">
        <f t="shared" ref="V33:V42" si="19">U33*(1+D33)</f>
        <v>45632069.915210702</v>
      </c>
    </row>
    <row r="34" spans="1:22" x14ac:dyDescent="0.35">
      <c r="A34" s="83">
        <v>2024</v>
      </c>
      <c r="B34" s="91">
        <f t="shared" si="15"/>
        <v>1994</v>
      </c>
      <c r="C34" s="72">
        <f t="shared" ref="C34" si="20">C33*(1+D34)+600000+F34</f>
        <v>67143155.631561607</v>
      </c>
      <c r="D34" s="85">
        <v>0.02</v>
      </c>
      <c r="E34" s="84">
        <f>C34-C33</f>
        <v>1904767.7574816048</v>
      </c>
      <c r="F34" s="84">
        <v>0</v>
      </c>
      <c r="G34" s="84">
        <f t="shared" si="0"/>
        <v>65238387.874080002</v>
      </c>
      <c r="H34" s="84">
        <f t="shared" si="16"/>
        <v>45632069.915210702</v>
      </c>
      <c r="I34" s="84">
        <f t="shared" si="17"/>
        <v>45431501.885097787</v>
      </c>
      <c r="J34" s="84">
        <f t="shared" si="2"/>
        <v>19606317.958869301</v>
      </c>
      <c r="K34" s="84">
        <f t="shared" si="9"/>
        <v>21511085.716350906</v>
      </c>
      <c r="L34" s="86">
        <f t="shared" si="10"/>
        <v>0.69946654726182889</v>
      </c>
      <c r="M34" s="86">
        <f t="shared" si="6"/>
        <v>0.30053345273817111</v>
      </c>
      <c r="N34" s="84">
        <f t="shared" ref="N34:N42" si="21">C4</f>
        <v>13292330</v>
      </c>
      <c r="O34" s="84">
        <f t="shared" si="4"/>
        <v>45431501.885097787</v>
      </c>
      <c r="P34" s="95">
        <f t="shared" ref="P34:P37" si="22">$O$7/I3</f>
        <v>0.88250542043251445</v>
      </c>
      <c r="Q34" s="96">
        <f t="shared" ref="Q34:Q37" si="23">P34*C3+$F$7</f>
        <v>23265025.825410657</v>
      </c>
      <c r="R34" s="95">
        <f>$O$8/I7</f>
        <v>1.0341241463689699</v>
      </c>
      <c r="S34" s="96">
        <f t="shared" ref="S34:S42" si="24">Q34*R34+F9</f>
        <v>24058924.971954834</v>
      </c>
      <c r="T34" s="95">
        <f t="shared" ref="T34:T38" si="25">T33</f>
        <v>1.8513166392332727</v>
      </c>
      <c r="U34" s="96">
        <f t="shared" si="18"/>
        <v>44540688.122644886</v>
      </c>
      <c r="V34" s="96">
        <f t="shared" si="19"/>
        <v>45431501.885097787</v>
      </c>
    </row>
    <row r="35" spans="1:22" x14ac:dyDescent="0.35">
      <c r="A35" s="83">
        <v>2025</v>
      </c>
      <c r="B35" s="91">
        <f t="shared" si="15"/>
        <v>1995</v>
      </c>
      <c r="C35" s="72">
        <f t="shared" si="12"/>
        <v>67143155.631561607</v>
      </c>
      <c r="D35" s="85">
        <v>0</v>
      </c>
      <c r="E35" s="84">
        <v>0</v>
      </c>
      <c r="F35" s="84">
        <v>0</v>
      </c>
      <c r="G35" s="84">
        <f t="shared" si="0"/>
        <v>67143155.631561607</v>
      </c>
      <c r="H35" s="84">
        <f t="shared" si="16"/>
        <v>45431501.885097787</v>
      </c>
      <c r="I35" s="84">
        <f t="shared" si="17"/>
        <v>44779172.92951595</v>
      </c>
      <c r="J35" s="84">
        <f t="shared" si="2"/>
        <v>21711653.74646382</v>
      </c>
      <c r="K35" s="84">
        <f t="shared" si="9"/>
        <v>21711653.74646382</v>
      </c>
      <c r="L35" s="86">
        <f t="shared" si="10"/>
        <v>0.67663638173928864</v>
      </c>
      <c r="M35" s="86">
        <f t="shared" si="6"/>
        <v>0.32336361826071136</v>
      </c>
      <c r="N35" s="84">
        <f t="shared" si="21"/>
        <v>12815956</v>
      </c>
      <c r="O35" s="84">
        <f t="shared" si="4"/>
        <v>44779172.92951595</v>
      </c>
      <c r="P35" s="95">
        <f t="shared" si="22"/>
        <v>0.89708531663184832</v>
      </c>
      <c r="Q35" s="96">
        <f t="shared" si="23"/>
        <v>23389594.066825017</v>
      </c>
      <c r="R35" s="95">
        <f>$O$8/I7</f>
        <v>1.0341241463689699</v>
      </c>
      <c r="S35" s="96">
        <f t="shared" si="24"/>
        <v>24187743.998272143</v>
      </c>
      <c r="T35" s="95">
        <f t="shared" si="25"/>
        <v>1.8513166392332727</v>
      </c>
      <c r="U35" s="96">
        <f t="shared" si="18"/>
        <v>44779172.92951595</v>
      </c>
      <c r="V35" s="96">
        <f t="shared" si="19"/>
        <v>44779172.92951595</v>
      </c>
    </row>
    <row r="36" spans="1:22" x14ac:dyDescent="0.35">
      <c r="A36" s="83">
        <v>2026</v>
      </c>
      <c r="B36" s="91">
        <f t="shared" si="15"/>
        <v>1996</v>
      </c>
      <c r="C36" s="72">
        <f t="shared" ref="C36" si="26">C35*(1+D36)+600000+F36</f>
        <v>69086018.744192839</v>
      </c>
      <c r="D36" s="85">
        <v>0.02</v>
      </c>
      <c r="E36" s="84">
        <f>C36-C35</f>
        <v>1942863.1126312315</v>
      </c>
      <c r="F36" s="84">
        <v>0</v>
      </c>
      <c r="G36" s="84">
        <f t="shared" si="0"/>
        <v>67143155.631561607</v>
      </c>
      <c r="H36" s="84">
        <f t="shared" si="16"/>
        <v>44779172.92951595</v>
      </c>
      <c r="I36" s="84">
        <f t="shared" si="17"/>
        <v>45762773.984135345</v>
      </c>
      <c r="J36" s="84">
        <f t="shared" si="2"/>
        <v>22363982.702045657</v>
      </c>
      <c r="K36" s="84">
        <f t="shared" si="9"/>
        <v>24306845.814676888</v>
      </c>
      <c r="L36" s="86">
        <f t="shared" si="10"/>
        <v>0.66692088729393673</v>
      </c>
      <c r="M36" s="86">
        <f t="shared" si="6"/>
        <v>0.33307911270606327</v>
      </c>
      <c r="N36" s="84">
        <f t="shared" si="21"/>
        <v>13668290</v>
      </c>
      <c r="O36" s="84">
        <f t="shared" si="4"/>
        <v>45762773.984135345</v>
      </c>
      <c r="P36" s="95">
        <f t="shared" si="22"/>
        <v>0.93394726176674425</v>
      </c>
      <c r="Q36" s="96">
        <f t="shared" si="23"/>
        <v>23434667.013123076</v>
      </c>
      <c r="R36" s="95">
        <f>$O$8/I7</f>
        <v>1.0341241463689699</v>
      </c>
      <c r="S36" s="96">
        <f t="shared" si="24"/>
        <v>24234355.020386957</v>
      </c>
      <c r="T36" s="95">
        <f t="shared" si="25"/>
        <v>1.8513166392332727</v>
      </c>
      <c r="U36" s="96">
        <f t="shared" si="18"/>
        <v>44865464.690328769</v>
      </c>
      <c r="V36" s="96">
        <f t="shared" si="19"/>
        <v>45762773.984135345</v>
      </c>
    </row>
    <row r="37" spans="1:22" x14ac:dyDescent="0.35">
      <c r="A37" s="83">
        <v>2027</v>
      </c>
      <c r="B37" s="91">
        <f t="shared" si="15"/>
        <v>1997</v>
      </c>
      <c r="C37" s="72">
        <f t="shared" si="12"/>
        <v>69086018.744192839</v>
      </c>
      <c r="D37" s="85">
        <v>0</v>
      </c>
      <c r="E37" s="84">
        <v>0</v>
      </c>
      <c r="F37" s="84">
        <v>0</v>
      </c>
      <c r="G37" s="84">
        <f t="shared" si="0"/>
        <v>69086018.744192839</v>
      </c>
      <c r="H37" s="84">
        <f t="shared" si="16"/>
        <v>45762773.984135345</v>
      </c>
      <c r="I37" s="84">
        <f t="shared" si="17"/>
        <v>45737999.790946506</v>
      </c>
      <c r="J37" s="84">
        <f t="shared" si="2"/>
        <v>23323244.760057494</v>
      </c>
      <c r="K37" s="84">
        <f t="shared" si="9"/>
        <v>23323244.760057494</v>
      </c>
      <c r="L37" s="86">
        <f t="shared" si="10"/>
        <v>0.66240282499969683</v>
      </c>
      <c r="M37" s="86">
        <f t="shared" si="6"/>
        <v>0.33759717500030317</v>
      </c>
      <c r="N37" s="84">
        <f t="shared" si="21"/>
        <v>24650580</v>
      </c>
      <c r="O37" s="84">
        <f t="shared" si="4"/>
        <v>45737999.790946506</v>
      </c>
      <c r="P37" s="95">
        <f t="shared" si="22"/>
        <v>0.90905153461040111</v>
      </c>
      <c r="Q37" s="96">
        <f t="shared" si="23"/>
        <v>23890420</v>
      </c>
      <c r="R37" s="95">
        <f>$O$8/I7</f>
        <v>1.0341241463689699</v>
      </c>
      <c r="S37" s="96">
        <f t="shared" si="24"/>
        <v>24705660.188896164</v>
      </c>
      <c r="T37" s="95">
        <f t="shared" si="25"/>
        <v>1.8513166392332727</v>
      </c>
      <c r="U37" s="96">
        <f t="shared" si="18"/>
        <v>45737999.790946506</v>
      </c>
      <c r="V37" s="96">
        <f t="shared" si="19"/>
        <v>45737999.790946506</v>
      </c>
    </row>
    <row r="38" spans="1:22" x14ac:dyDescent="0.35">
      <c r="A38" s="83">
        <v>2028</v>
      </c>
      <c r="B38" s="91">
        <f t="shared" si="15"/>
        <v>1998</v>
      </c>
      <c r="C38" s="72">
        <f t="shared" ref="C38" si="27">C37*(1+D38)+600000+F38</f>
        <v>71067739.119076699</v>
      </c>
      <c r="D38" s="85">
        <v>0.02</v>
      </c>
      <c r="E38" s="84">
        <f>C38-C37</f>
        <v>1981720.3748838603</v>
      </c>
      <c r="F38" s="84">
        <v>0</v>
      </c>
      <c r="G38" s="84">
        <f t="shared" si="0"/>
        <v>69086018.744192839</v>
      </c>
      <c r="H38" s="84">
        <f t="shared" si="16"/>
        <v>45737999.790946506</v>
      </c>
      <c r="I38" s="84">
        <f t="shared" si="17"/>
        <v>49250458.439521171</v>
      </c>
      <c r="J38" s="84">
        <f t="shared" si="2"/>
        <v>23348018.953246333</v>
      </c>
      <c r="K38" s="84">
        <f t="shared" si="9"/>
        <v>25329739.328130193</v>
      </c>
      <c r="L38" s="86">
        <f t="shared" si="10"/>
        <v>0.66204422576877908</v>
      </c>
      <c r="M38" s="86">
        <f t="shared" si="6"/>
        <v>0.33795577423122092</v>
      </c>
      <c r="N38" s="84">
        <f t="shared" si="21"/>
        <v>26709570</v>
      </c>
      <c r="O38" s="84">
        <f t="shared" si="4"/>
        <v>49250458.439521171</v>
      </c>
      <c r="P38" s="95"/>
      <c r="Q38" s="96"/>
      <c r="R38" s="95">
        <f>$O$8/I7</f>
        <v>1.0341241463689699</v>
      </c>
      <c r="S38" s="96">
        <f>R38*C7+$F$8</f>
        <v>26081310</v>
      </c>
      <c r="T38" s="95">
        <f t="shared" si="25"/>
        <v>1.8513166392332727</v>
      </c>
      <c r="U38" s="96">
        <f t="shared" si="18"/>
        <v>48284763.176001146</v>
      </c>
      <c r="V38" s="96">
        <f t="shared" si="19"/>
        <v>49250458.439521171</v>
      </c>
    </row>
    <row r="39" spans="1:22" x14ac:dyDescent="0.35">
      <c r="A39" s="83">
        <v>2029</v>
      </c>
      <c r="B39" s="91">
        <f t="shared" si="15"/>
        <v>1999</v>
      </c>
      <c r="C39" s="72">
        <f t="shared" si="12"/>
        <v>71067739.119076699</v>
      </c>
      <c r="D39" s="85">
        <v>0</v>
      </c>
      <c r="E39" s="84">
        <v>0</v>
      </c>
      <c r="F39" s="84">
        <v>0</v>
      </c>
      <c r="G39" s="84">
        <f t="shared" si="0"/>
        <v>71067739.119076699</v>
      </c>
      <c r="H39" s="84">
        <f t="shared" si="16"/>
        <v>49250458.439521171</v>
      </c>
      <c r="I39" s="84">
        <f t="shared" si="17"/>
        <v>48604420.685305335</v>
      </c>
      <c r="J39" s="84">
        <f t="shared" si="2"/>
        <v>21817280.679555528</v>
      </c>
      <c r="K39" s="84">
        <f t="shared" si="9"/>
        <v>21817280.679555528</v>
      </c>
      <c r="L39" s="86">
        <f t="shared" si="10"/>
        <v>0.6930072498437041</v>
      </c>
      <c r="M39" s="86">
        <f t="shared" si="6"/>
        <v>0.3069927501562959</v>
      </c>
      <c r="N39" s="84">
        <f t="shared" si="21"/>
        <v>26359210</v>
      </c>
      <c r="O39" s="84">
        <f t="shared" si="4"/>
        <v>48604420.685305335</v>
      </c>
      <c r="P39" s="95"/>
      <c r="Q39" s="96"/>
      <c r="R39" s="95"/>
      <c r="S39" s="96">
        <f t="shared" si="24"/>
        <v>0</v>
      </c>
      <c r="T39" s="95">
        <f>C9/C8</f>
        <v>0.98688260425008711</v>
      </c>
      <c r="U39" s="96">
        <f>T39*V38</f>
        <v>48604420.685305335</v>
      </c>
      <c r="V39" s="96">
        <f t="shared" si="19"/>
        <v>48604420.685305335</v>
      </c>
    </row>
    <row r="40" spans="1:22" x14ac:dyDescent="0.35">
      <c r="A40" s="83">
        <v>2030</v>
      </c>
      <c r="B40" s="91">
        <f t="shared" si="15"/>
        <v>2000</v>
      </c>
      <c r="C40" s="72">
        <f t="shared" ref="C40" si="28">C39*(1+D40)+600000+F40</f>
        <v>73089093.901458234</v>
      </c>
      <c r="D40" s="85">
        <v>0.02</v>
      </c>
      <c r="E40" s="84">
        <f>C40-C39</f>
        <v>2021354.7823815346</v>
      </c>
      <c r="F40" s="84">
        <v>0</v>
      </c>
      <c r="G40" s="84">
        <f t="shared" si="0"/>
        <v>71067739.119076699</v>
      </c>
      <c r="H40" s="84">
        <f t="shared" si="16"/>
        <v>48604420.685305335</v>
      </c>
      <c r="I40" s="84">
        <f t="shared" si="17"/>
        <v>56868781.39563103</v>
      </c>
      <c r="J40" s="84">
        <f t="shared" si="2"/>
        <v>22463318.433771364</v>
      </c>
      <c r="K40" s="84">
        <f t="shared" si="9"/>
        <v>24484673.216152899</v>
      </c>
      <c r="L40" s="86">
        <f t="shared" si="10"/>
        <v>0.68391679948994555</v>
      </c>
      <c r="M40" s="86">
        <f t="shared" si="6"/>
        <v>0.31608320051005445</v>
      </c>
      <c r="N40" s="84">
        <f t="shared" si="21"/>
        <v>30236420</v>
      </c>
      <c r="O40" s="84">
        <f t="shared" si="4"/>
        <v>56868781.39563103</v>
      </c>
      <c r="P40" s="95"/>
      <c r="Q40" s="96"/>
      <c r="R40" s="95"/>
      <c r="S40" s="96">
        <f t="shared" si="24"/>
        <v>0</v>
      </c>
      <c r="T40" s="95">
        <f t="shared" ref="T40:T42" si="29">C10/C9</f>
        <v>1.1470912823259878</v>
      </c>
      <c r="U40" s="96">
        <f>T40*V39</f>
        <v>55753707.250618659</v>
      </c>
      <c r="V40" s="96">
        <f t="shared" si="19"/>
        <v>56868781.39563103</v>
      </c>
    </row>
    <row r="41" spans="1:22" x14ac:dyDescent="0.35">
      <c r="A41" s="83">
        <v>2031</v>
      </c>
      <c r="B41" s="91">
        <f t="shared" si="15"/>
        <v>2001</v>
      </c>
      <c r="C41" s="72">
        <f t="shared" si="12"/>
        <v>73089093.901458234</v>
      </c>
      <c r="D41" s="85">
        <v>0</v>
      </c>
      <c r="E41" s="84">
        <v>0</v>
      </c>
      <c r="F41" s="84">
        <v>0</v>
      </c>
      <c r="G41" s="84">
        <f t="shared" si="0"/>
        <v>73089093.901458234</v>
      </c>
      <c r="H41" s="84">
        <f t="shared" si="16"/>
        <v>56868781.395631038</v>
      </c>
      <c r="I41" s="84">
        <f t="shared" si="17"/>
        <v>58065236.088250607</v>
      </c>
      <c r="J41" s="84">
        <f t="shared" si="2"/>
        <v>16220312.505827196</v>
      </c>
      <c r="K41" s="84">
        <f t="shared" si="9"/>
        <v>16220312.505827196</v>
      </c>
      <c r="L41" s="86">
        <f t="shared" si="10"/>
        <v>0.77807479009527603</v>
      </c>
      <c r="M41" s="86">
        <f t="shared" si="6"/>
        <v>0.22192520990472397</v>
      </c>
      <c r="N41" s="84">
        <f t="shared" si="21"/>
        <v>30872560</v>
      </c>
      <c r="O41" s="84">
        <f t="shared" si="4"/>
        <v>58065236.088250607</v>
      </c>
      <c r="P41" s="95"/>
      <c r="Q41" s="96"/>
      <c r="R41" s="95"/>
      <c r="S41" s="96">
        <f t="shared" si="24"/>
        <v>0</v>
      </c>
      <c r="T41" s="95">
        <f t="shared" si="29"/>
        <v>1.0210388663737306</v>
      </c>
      <c r="U41" s="96">
        <f>T41*V40</f>
        <v>58065236.088250607</v>
      </c>
      <c r="V41" s="96">
        <f t="shared" si="19"/>
        <v>58065236.088250607</v>
      </c>
    </row>
    <row r="42" spans="1:22" x14ac:dyDescent="0.35">
      <c r="A42" s="83">
        <v>2032</v>
      </c>
      <c r="B42" s="91">
        <f t="shared" si="15"/>
        <v>2002</v>
      </c>
      <c r="C42" s="72">
        <f t="shared" ref="C42" si="30">C41*(1+D42)+600000+F42</f>
        <v>75150875.779487401</v>
      </c>
      <c r="D42" s="85">
        <v>0.02</v>
      </c>
      <c r="E42" s="84">
        <f>C42-C41</f>
        <v>2061781.8780291677</v>
      </c>
      <c r="F42" s="84">
        <v>0</v>
      </c>
      <c r="G42" s="84">
        <f t="shared" si="0"/>
        <v>73089093.901458234</v>
      </c>
      <c r="H42" s="84">
        <f t="shared" si="16"/>
        <v>58065236.088250607</v>
      </c>
      <c r="I42" s="84">
        <f t="shared" si="17"/>
        <v>63415085.049519278</v>
      </c>
      <c r="J42" s="84">
        <f t="shared" si="2"/>
        <v>15023857.813207626</v>
      </c>
      <c r="K42" s="84">
        <f t="shared" si="9"/>
        <v>17085639.691236794</v>
      </c>
      <c r="L42" s="86">
        <f t="shared" si="10"/>
        <v>0.7944446016328589</v>
      </c>
      <c r="M42" s="86">
        <f t="shared" si="6"/>
        <v>0.2055553983671411</v>
      </c>
      <c r="N42" s="84">
        <f t="shared" si="21"/>
        <v>33055890</v>
      </c>
      <c r="O42" s="84">
        <f t="shared" si="4"/>
        <v>63415085.049519278</v>
      </c>
      <c r="P42" s="95"/>
      <c r="Q42" s="96"/>
      <c r="R42" s="95"/>
      <c r="S42" s="96">
        <f t="shared" si="24"/>
        <v>0</v>
      </c>
      <c r="T42" s="95">
        <f t="shared" si="29"/>
        <v>1.0707207306423567</v>
      </c>
      <c r="U42" s="96">
        <f>T42*V41</f>
        <v>62171652.009332627</v>
      </c>
      <c r="V42" s="96">
        <f t="shared" si="19"/>
        <v>63415085.049519278</v>
      </c>
    </row>
  </sheetData>
  <pageMargins left="0.25" right="0.25" top="0.89375000000000004" bottom="0.75" header="0.3" footer="0.3"/>
  <pageSetup paperSize="5" scale="61" fitToHeight="0" orientation="landscape" r:id="rId1"/>
  <headerFooter>
    <oddHeader>&amp;LCity of Grand Junction Downtown Development Authority
Tax Increment Debt Service Fund Projection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zoomScaleNormal="100" workbookViewId="0">
      <selection activeCell="C11" sqref="C11"/>
    </sheetView>
  </sheetViews>
  <sheetFormatPr defaultRowHeight="14.5" x14ac:dyDescent="0.35"/>
  <cols>
    <col min="1" max="1" width="27.7265625" customWidth="1"/>
    <col min="2" max="4" width="12.7265625" customWidth="1"/>
    <col min="6" max="6" width="10.26953125" customWidth="1"/>
    <col min="7" max="8" width="11.453125" customWidth="1"/>
  </cols>
  <sheetData>
    <row r="1" spans="1:4" x14ac:dyDescent="0.35">
      <c r="A1" s="125" t="s">
        <v>58</v>
      </c>
      <c r="B1" s="126"/>
      <c r="C1" s="126"/>
    </row>
    <row r="2" spans="1:4" x14ac:dyDescent="0.35">
      <c r="A2" s="127" t="s">
        <v>47</v>
      </c>
      <c r="B2" s="128"/>
      <c r="C2" s="62"/>
    </row>
    <row r="3" spans="1:4" x14ac:dyDescent="0.35">
      <c r="A3" s="129" t="s">
        <v>38</v>
      </c>
      <c r="B3" s="130"/>
      <c r="C3" s="58">
        <v>1278991</v>
      </c>
    </row>
    <row r="4" spans="1:4" x14ac:dyDescent="0.35">
      <c r="A4" s="123" t="s">
        <v>39</v>
      </c>
      <c r="B4" s="131"/>
      <c r="C4" s="59">
        <v>412867</v>
      </c>
    </row>
    <row r="5" spans="1:4" x14ac:dyDescent="0.35">
      <c r="A5" s="132" t="s">
        <v>40</v>
      </c>
      <c r="B5" s="133"/>
      <c r="C5" s="60">
        <v>17731</v>
      </c>
    </row>
    <row r="6" spans="1:4" x14ac:dyDescent="0.35">
      <c r="A6" s="139" t="s">
        <v>48</v>
      </c>
      <c r="B6" s="140"/>
      <c r="C6" s="61">
        <f t="shared" ref="C6" si="0">SUM(C3:C5)</f>
        <v>1709589</v>
      </c>
    </row>
    <row r="7" spans="1:4" x14ac:dyDescent="0.35">
      <c r="A7" s="129" t="s">
        <v>43</v>
      </c>
      <c r="B7" s="130"/>
      <c r="C7" s="56">
        <v>43006</v>
      </c>
    </row>
    <row r="8" spans="1:4" hidden="1" x14ac:dyDescent="0.35">
      <c r="A8" s="123" t="s">
        <v>49</v>
      </c>
      <c r="B8" s="131"/>
      <c r="C8" s="63">
        <v>43084</v>
      </c>
    </row>
    <row r="9" spans="1:4" x14ac:dyDescent="0.35">
      <c r="A9" s="141" t="s">
        <v>50</v>
      </c>
      <c r="B9" s="142"/>
      <c r="C9" s="56">
        <v>48563</v>
      </c>
    </row>
    <row r="10" spans="1:4" x14ac:dyDescent="0.35">
      <c r="A10" s="134" t="s">
        <v>56</v>
      </c>
      <c r="B10" s="137"/>
      <c r="C10" s="57">
        <f>DAYS360(C7,C9)/360</f>
        <v>15.213888888888889</v>
      </c>
    </row>
    <row r="11" spans="1:4" x14ac:dyDescent="0.35">
      <c r="A11" s="134" t="s">
        <v>41</v>
      </c>
      <c r="B11" s="135"/>
      <c r="C11" s="54">
        <f>SUM(D17:D32)</f>
        <v>25433980</v>
      </c>
    </row>
    <row r="12" spans="1:4" x14ac:dyDescent="0.35">
      <c r="A12" s="136" t="s">
        <v>42</v>
      </c>
      <c r="B12" s="137"/>
      <c r="C12" s="54">
        <f>C11/C10</f>
        <v>1671760.5988679936</v>
      </c>
    </row>
    <row r="13" spans="1:4" x14ac:dyDescent="0.35">
      <c r="A13" s="136" t="s">
        <v>54</v>
      </c>
      <c r="B13" s="137"/>
      <c r="C13" s="65">
        <f>C6/C12</f>
        <v>1.0226278817419321</v>
      </c>
    </row>
    <row r="15" spans="1:4" x14ac:dyDescent="0.35">
      <c r="A15" s="138" t="s">
        <v>53</v>
      </c>
      <c r="B15" s="138"/>
      <c r="C15" s="138"/>
      <c r="D15" s="138"/>
    </row>
    <row r="16" spans="1:4" x14ac:dyDescent="0.35">
      <c r="A16" s="64" t="s">
        <v>52</v>
      </c>
      <c r="B16" s="64" t="s">
        <v>46</v>
      </c>
      <c r="C16" s="64" t="s">
        <v>44</v>
      </c>
      <c r="D16" s="64" t="s">
        <v>45</v>
      </c>
    </row>
    <row r="17" spans="1:4" x14ac:dyDescent="0.35">
      <c r="A17" s="66" t="s">
        <v>51</v>
      </c>
      <c r="B17" s="52">
        <f>(908010-730000)/2+730000</f>
        <v>819005</v>
      </c>
      <c r="C17" s="52">
        <v>0</v>
      </c>
      <c r="D17" s="52">
        <f t="shared" ref="D17:D32" si="1">SUM(B17:C17)</f>
        <v>819005</v>
      </c>
    </row>
    <row r="18" spans="1:4" x14ac:dyDescent="0.35">
      <c r="A18" s="50">
        <v>2018</v>
      </c>
      <c r="B18" s="52">
        <v>908555</v>
      </c>
      <c r="C18" s="52">
        <v>732800</v>
      </c>
      <c r="D18" s="52">
        <f t="shared" si="1"/>
        <v>1641355</v>
      </c>
    </row>
    <row r="19" spans="1:4" x14ac:dyDescent="0.35">
      <c r="A19" s="50">
        <v>2019</v>
      </c>
      <c r="B19" s="52">
        <v>911380</v>
      </c>
      <c r="C19" s="52">
        <v>731200</v>
      </c>
      <c r="D19" s="52">
        <f t="shared" si="1"/>
        <v>1642580</v>
      </c>
    </row>
    <row r="20" spans="1:4" x14ac:dyDescent="0.35">
      <c r="A20" s="50">
        <v>2020</v>
      </c>
      <c r="B20" s="52">
        <v>911130</v>
      </c>
      <c r="C20" s="52">
        <v>729400</v>
      </c>
      <c r="D20" s="52">
        <f t="shared" si="1"/>
        <v>1640530</v>
      </c>
    </row>
    <row r="21" spans="1:4" x14ac:dyDescent="0.35">
      <c r="A21" s="50">
        <v>2021</v>
      </c>
      <c r="B21" s="52">
        <v>907665</v>
      </c>
      <c r="C21" s="52">
        <v>732400</v>
      </c>
      <c r="D21" s="52">
        <f t="shared" si="1"/>
        <v>1640065</v>
      </c>
    </row>
    <row r="22" spans="1:4" x14ac:dyDescent="0.35">
      <c r="A22" s="50">
        <v>2022</v>
      </c>
      <c r="B22" s="52">
        <v>910845</v>
      </c>
      <c r="C22" s="52">
        <v>730000</v>
      </c>
      <c r="D22" s="52">
        <f t="shared" si="1"/>
        <v>1640845</v>
      </c>
    </row>
    <row r="23" spans="1:4" x14ac:dyDescent="0.35">
      <c r="A23" s="50">
        <v>2023</v>
      </c>
      <c r="B23" s="52">
        <v>0</v>
      </c>
      <c r="C23" s="52">
        <v>1642400</v>
      </c>
      <c r="D23" s="52">
        <f t="shared" si="1"/>
        <v>1642400</v>
      </c>
    </row>
    <row r="24" spans="1:4" x14ac:dyDescent="0.35">
      <c r="A24" s="50">
        <v>2024</v>
      </c>
      <c r="B24" s="52">
        <v>0</v>
      </c>
      <c r="C24" s="52">
        <v>1643000</v>
      </c>
      <c r="D24" s="52">
        <f t="shared" si="1"/>
        <v>1643000</v>
      </c>
    </row>
    <row r="25" spans="1:4" x14ac:dyDescent="0.35">
      <c r="A25" s="50">
        <v>2025</v>
      </c>
      <c r="B25" s="52">
        <v>0</v>
      </c>
      <c r="C25" s="52">
        <v>1641800</v>
      </c>
      <c r="D25" s="52">
        <f t="shared" si="1"/>
        <v>1641800</v>
      </c>
    </row>
    <row r="26" spans="1:4" x14ac:dyDescent="0.35">
      <c r="A26" s="50">
        <v>2026</v>
      </c>
      <c r="B26" s="52">
        <v>0</v>
      </c>
      <c r="C26" s="52">
        <v>1638800</v>
      </c>
      <c r="D26" s="52">
        <f t="shared" si="1"/>
        <v>1638800</v>
      </c>
    </row>
    <row r="27" spans="1:4" x14ac:dyDescent="0.35">
      <c r="A27" s="50">
        <v>2027</v>
      </c>
      <c r="B27" s="52">
        <v>0</v>
      </c>
      <c r="C27" s="52">
        <v>1639000</v>
      </c>
      <c r="D27" s="52">
        <f t="shared" si="1"/>
        <v>1639000</v>
      </c>
    </row>
    <row r="28" spans="1:4" x14ac:dyDescent="0.35">
      <c r="A28" s="50">
        <v>2028</v>
      </c>
      <c r="B28" s="52">
        <v>0</v>
      </c>
      <c r="C28" s="52">
        <v>1642200</v>
      </c>
      <c r="D28" s="52">
        <f t="shared" si="1"/>
        <v>1642200</v>
      </c>
    </row>
    <row r="29" spans="1:4" x14ac:dyDescent="0.35">
      <c r="A29" s="50">
        <v>2029</v>
      </c>
      <c r="B29" s="52">
        <v>0</v>
      </c>
      <c r="C29" s="52">
        <v>1638200</v>
      </c>
      <c r="D29" s="52">
        <f t="shared" si="1"/>
        <v>1638200</v>
      </c>
    </row>
    <row r="30" spans="1:4" x14ac:dyDescent="0.35">
      <c r="A30" s="50">
        <v>2030</v>
      </c>
      <c r="B30" s="52">
        <v>0</v>
      </c>
      <c r="C30" s="52">
        <v>1642200</v>
      </c>
      <c r="D30" s="52">
        <f t="shared" si="1"/>
        <v>1642200</v>
      </c>
    </row>
    <row r="31" spans="1:4" x14ac:dyDescent="0.35">
      <c r="A31" s="50">
        <v>2031</v>
      </c>
      <c r="B31" s="52">
        <v>0</v>
      </c>
      <c r="C31" s="52">
        <v>1638800</v>
      </c>
      <c r="D31" s="52">
        <f t="shared" si="1"/>
        <v>1638800</v>
      </c>
    </row>
    <row r="32" spans="1:4" x14ac:dyDescent="0.35">
      <c r="A32" s="50">
        <v>2032</v>
      </c>
      <c r="B32" s="52">
        <v>0</v>
      </c>
      <c r="C32" s="52">
        <v>1643200</v>
      </c>
      <c r="D32" s="52">
        <f t="shared" si="1"/>
        <v>1643200</v>
      </c>
    </row>
    <row r="33" spans="1:4" x14ac:dyDescent="0.35">
      <c r="A33" s="55" t="s">
        <v>45</v>
      </c>
      <c r="B33" s="54">
        <f>SUM(B17:B32)</f>
        <v>5368580</v>
      </c>
      <c r="C33" s="53">
        <f>SUM(C17:C32)</f>
        <v>20065400</v>
      </c>
      <c r="D33" s="54">
        <f>SUM(D17:D32)</f>
        <v>25433980</v>
      </c>
    </row>
    <row r="35" spans="1:4" x14ac:dyDescent="0.35">
      <c r="A35" s="51" t="s">
        <v>59</v>
      </c>
      <c r="B35" s="51"/>
    </row>
  </sheetData>
  <mergeCells count="14">
    <mergeCell ref="A13:B13"/>
    <mergeCell ref="A15:D15"/>
    <mergeCell ref="A7:B7"/>
    <mergeCell ref="A8:B8"/>
    <mergeCell ref="A9:B9"/>
    <mergeCell ref="A10:B10"/>
    <mergeCell ref="A11:B11"/>
    <mergeCell ref="A12:B12"/>
    <mergeCell ref="A6:B6"/>
    <mergeCell ref="A1:C1"/>
    <mergeCell ref="A2:B2"/>
    <mergeCell ref="A3:B3"/>
    <mergeCell ref="A4:B4"/>
    <mergeCell ref="A5:B5"/>
  </mergeCells>
  <pageMargins left="0.25" right="0.25" top="0.89375000000000004" bottom="0.75" header="0.3" footer="0.3"/>
  <pageSetup paperSize="5" scale="71" fitToHeight="0" orientation="landscape" r:id="rId1"/>
  <headerFooter>
    <oddHeader>&amp;LCity of Grand Junction Downtown Development Authority
Tax Increment Debt Service Fund Projection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Scenario I</vt:lpstr>
      <vt:lpstr>Projections</vt:lpstr>
      <vt:lpstr>ABT - Full Years and DS</vt:lpstr>
      <vt:lpstr>ABT</vt:lpstr>
      <vt:lpstr>Assessed Value Projections</vt:lpstr>
      <vt:lpstr>Assessed Value Projections I</vt:lpstr>
      <vt:lpstr>ABT - Prorated Years-DS (2)</vt:lpstr>
      <vt:lpstr>ABT!Print_Area</vt:lpstr>
      <vt:lpstr>'ABT - Full Years and DS'!Print_Area</vt:lpstr>
      <vt:lpstr>'ABT - Prorated Years-DS (2)'!Print_Area</vt:lpstr>
      <vt:lpstr>Projections!Print_Area</vt:lpstr>
      <vt:lpstr>'Scenario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Dempsey</dc:creator>
  <cp:lastModifiedBy>Scott Hockins</cp:lastModifiedBy>
  <cp:lastPrinted>2017-07-12T17:44:12Z</cp:lastPrinted>
  <dcterms:created xsi:type="dcterms:W3CDTF">2017-05-20T20:52:45Z</dcterms:created>
  <dcterms:modified xsi:type="dcterms:W3CDTF">2017-08-03T15:20:40Z</dcterms:modified>
</cp:coreProperties>
</file>